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<sst xmlns="http://schemas.openxmlformats.org/spreadsheetml/2006/main" count="3788" uniqueCount="2996">
  <si>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</si>
  <si>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</si>
  <si>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</si>
  <si>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</si>
  <si>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</si>
  <si>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</si>
  <si>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</si>
  <si>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</si>
  <si>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</si>
  <si>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</si>
  <si>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</si>
  <si>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</si>
  <si>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</si>
  <si>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</si>
  <si>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</si>
  <si>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</si>
  <si>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</si>
  <si>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</si>
  <si>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</si>
  <si>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</si>
  <si>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</si>
  <si>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</si>
  <si>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</si>
  <si>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</si>
  <si>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</si>
  <si>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</si>
  <si>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</si>
  <si>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</si>
  <si>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</si>
  <si>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</si>
  <si>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</si>
  <si>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</si>
  <si>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</si>
  <si>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</si>
  <si>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</si>
  <si>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</si>
  <si>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</si>
  <si>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</si>
  <si>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</si>
  <si>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</si>
  <si>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</si>
  <si>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</si>
  <si>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</si>
  <si>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</si>
  <si>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</si>
  <si>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</si>
  <si>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</si>
  <si>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</si>
  <si>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</si>
  <si>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</si>
  <si>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</si>
  <si>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</si>
  <si>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</si>
  <si>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</si>
  <si>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</si>
  <si>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</si>
  <si>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</si>
  <si>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</si>
  <si>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</si>
  <si>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</si>
  <si>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</si>
  <si>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</si>
  <si>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</si>
  <si>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</si>
  <si>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</si>
  <si>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</si>
  <si>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</si>
  <si>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</si>
  <si>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</si>
  <si>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</si>
  <si>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</si>
  <si>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</si>
  <si>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</si>
  <si>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</si>
  <si>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</si>
  <si>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</si>
  <si>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</si>
  <si>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</si>
  <si>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</si>
  <si>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</si>
  <si>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</si>
  <si>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</si>
  <si>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</si>
  <si>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</si>
  <si>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</si>
  <si>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</si>
  <si>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</si>
  <si>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</si>
  <si>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</si>
  <si>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</si>
  <si>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</si>
  <si>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</si>
  <si>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</si>
  <si>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</si>
  <si>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</si>
  <si>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</si>
  <si>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</si>
  <si>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</si>
  <si>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</si>
  <si>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</si>
  <si>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</si>
  <si>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</si>
  <si>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</si>
  <si>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</si>
  <si>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</si>
  <si>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</si>
  <si>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</si>
  <si>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</si>
  <si>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</si>
  <si>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</si>
  <si>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</si>
  <si>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</si>
  <si>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</si>
  <si>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</si>
  <si>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</si>
  <si>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</si>
  <si>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</si>
  <si>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</si>
  <si>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</si>
  <si>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</si>
  <si>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</si>
  <si>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</si>
  <si>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</si>
  <si>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</si>
  <si>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</si>
  <si>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</si>
  <si>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</si>
  <si>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</si>
  <si>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</si>
  <si>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</si>
  <si>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</si>
  <si>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</si>
  <si>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</si>
  <si>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</si>
  <si>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</si>
  <si>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</si>
  <si>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</si>
  <si>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</si>
  <si>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</si>
  <si>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</si>
  <si>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</si>
  <si>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</si>
  <si>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</si>
  <si>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</si>
  <si>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</si>
  <si>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</si>
  <si>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</si>
  <si>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</si>
  <si>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</si>
  <si>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</si>
  <si>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</si>
  <si>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</si>
  <si>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</si>
  <si>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</si>
  <si>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</si>
  <si>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</si>
  <si>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</si>
  <si>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</si>
  <si>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</si>
  <si>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</si>
  <si>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</si>
  <si>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</si>
  <si>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</si>
  <si>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</si>
  <si>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</si>
  <si>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</si>
  <si>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</si>
  <si>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</si>
  <si>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</si>
  <si>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</si>
  <si>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</si>
  <si>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</si>
  <si>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</si>
  <si>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</si>
  <si>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</si>
  <si>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</si>
  <si>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</si>
  <si>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</si>
  <si>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</si>
  <si>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</si>
  <si>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</si>
  <si>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</si>
  <si>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</si>
  <si>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</si>
  <si>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</si>
  <si>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</si>
  <si>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</si>
  <si>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</si>
  <si>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</si>
  <si>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</si>
  <si>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</si>
  <si>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</si>
  <si>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</si>
  <si>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</si>
  <si>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</si>
  <si>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</si>
  <si>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</si>
  <si>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</si>
  <si>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</si>
  <si>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</si>
  <si>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</si>
  <si>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</si>
  <si>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</si>
  <si>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</si>
  <si>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</si>
  <si>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</si>
  <si>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</si>
  <si>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</si>
  <si>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</si>
  <si>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</si>
  <si>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</si>
  <si>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</si>
  <si>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</si>
  <si>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</si>
  <si>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</si>
  <si>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</si>
  <si>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</si>
  <si>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</si>
  <si>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</si>
  <si>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</si>
  <si>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</si>
  <si>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</si>
  <si>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</si>
  <si>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</si>
  <si>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</si>
  <si>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</si>
  <si>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</si>
  <si>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</si>
  <si>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</si>
  <si>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</si>
  <si>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</si>
  <si>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</si>
  <si>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</si>
  <si>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</si>
  <si>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</si>
  <si>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</si>
  <si>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</si>
  <si>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</si>
  <si>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</si>
  <si>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</si>
  <si>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</si>
  <si>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</si>
  <si>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</si>
  <si>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</si>
  <si>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</si>
  <si>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</si>
  <si>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</si>
  <si>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</si>
  <si>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</si>
  <si>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</si>
  <si>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</si>
  <si>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</si>
  <si>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</si>
  <si>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</si>
  <si>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</si>
  <si>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</si>
  <si>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</si>
  <si>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</si>
  <si>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</si>
  <si>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</si>
  <si>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</si>
  <si>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</si>
  <si>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</si>
  <si>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</si>
  <si>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</si>
  <si>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</si>
  <si>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</si>
  <si>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</si>
  <si>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</si>
  <si>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</si>
  <si>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</si>
  <si>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</si>
  <si>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</si>
  <si>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</si>
  <si>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</si>
  <si>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</si>
  <si>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</si>
  <si>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</si>
  <si>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</si>
  <si>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</si>
  <si>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</si>
  <si>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</si>
  <si>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</si>
  <si>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</si>
  <si>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</si>
  <si>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</si>
  <si>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</si>
  <si>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</si>
  <si>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</si>
  <si>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</si>
  <si>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</si>
  <si>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</si>
  <si>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</si>
  <si>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</si>
  <si>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</si>
  <si>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</si>
  <si>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</si>
  <si>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</si>
  <si>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</si>
  <si>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</si>
  <si>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</si>
  <si>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</si>
  <si>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</si>
  <si>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</si>
  <si>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</si>
  <si>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</si>
  <si>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</si>
  <si>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</si>
  <si>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</si>
  <si>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</si>
  <si>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</si>
  <si>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</si>
  <si>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</si>
  <si>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</si>
  <si>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</si>
  <si>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</si>
  <si>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</si>
  <si>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</si>
  <si>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</si>
  <si>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</si>
  <si>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</si>
  <si>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</si>
  <si>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</si>
  <si>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</si>
  <si>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</si>
  <si>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</si>
  <si>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</si>
  <si>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</si>
  <si>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</si>
  <si>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</si>
  <si>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</si>
  <si>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</si>
  <si>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</si>
  <si>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</si>
  <si>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</si>
  <si>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</si>
  <si>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</si>
  <si>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</si>
  <si>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</si>
  <si>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</si>
  <si>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</si>
  <si>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</si>
  <si>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</si>
  <si>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</si>
  <si>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</si>
  <si>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</si>
  <si>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</si>
  <si>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</si>
  <si>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</si>
  <si>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</si>
  <si>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</si>
  <si>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</si>
  <si>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</si>
  <si>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</si>
  <si>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</si>
  <si>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</si>
  <si>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</si>
  <si>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</si>
  <si>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</si>
  <si>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</si>
  <si>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</si>
  <si>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</si>
  <si>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</si>
  <si>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</si>
  <si>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</si>
  <si>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</si>
  <si>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</si>
  <si>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</si>
  <si>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</si>
  <si>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</si>
  <si>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</si>
  <si>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</si>
  <si>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</si>
  <si>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</si>
  <si>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</si>
  <si>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</si>
  <si>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</si>
  <si>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</si>
  <si>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</si>
  <si>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</si>
  <si>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</si>
  <si>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</si>
  <si>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</si>
  <si>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</si>
  <si>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</si>
  <si>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</si>
  <si>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</si>
  <si>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</si>
  <si>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</si>
  <si>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</si>
  <si>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</si>
  <si>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</si>
  <si>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</si>
  <si>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</si>
  <si>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</si>
  <si>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</si>
  <si>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</si>
  <si>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</si>
  <si>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</si>
  <si>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</si>
  <si>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</si>
  <si>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</si>
  <si>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</si>
  <si>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</si>
  <si>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</si>
  <si>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</si>
  <si>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</si>
  <si>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</si>
  <si>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</si>
  <si>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</si>
  <si>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</si>
  <si>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</si>
  <si>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</si>
  <si>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</si>
  <si>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</si>
  <si>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</si>
  <si>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</si>
  <si>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</si>
  <si>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</si>
  <si>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</si>
  <si>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</si>
  <si>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</si>
  <si>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</si>
  <si>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</si>
  <si>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</si>
  <si>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</si>
  <si>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</si>
  <si>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</si>
  <si>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</si>
  <si>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</si>
  <si>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</si>
  <si>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</si>
  <si>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</si>
  <si>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</si>
  <si>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</si>
  <si>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</si>
  <si>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</si>
  <si>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</si>
  <si>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</si>
  <si>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</si>
  <si>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</si>
  <si>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</si>
  <si>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</si>
  <si>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</si>
  <si>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</si>
  <si>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</si>
  <si>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</si>
  <si>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</si>
  <si>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</si>
  <si>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</si>
  <si>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</si>
  <si>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</si>
  <si>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</si>
  <si>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</si>
  <si>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</si>
  <si>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</si>
  <si>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</si>
  <si>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</si>
  <si>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</si>
  <si>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</si>
  <si>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</si>
  <si>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</si>
  <si>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</si>
  <si>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</si>
  <si>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</si>
  <si>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</si>
  <si>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</si>
  <si>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</si>
  <si>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</si>
  <si>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</si>
  <si>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</si>
  <si>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</si>
  <si>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</si>
  <si>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</si>
  <si>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</si>
  <si>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</si>
  <si>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</si>
  <si>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</si>
  <si>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</si>
  <si>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</si>
  <si>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</si>
  <si>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</si>
  <si>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</si>
  <si>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</si>
  <si>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</si>
  <si>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</si>
  <si>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</si>
  <si>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</si>
  <si>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</si>
  <si>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</si>
  <si>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</si>
  <si>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</si>
  <si>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</si>
  <si>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</si>
  <si>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</si>
  <si>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</si>
  <si>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</si>
  <si>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</si>
  <si>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</si>
  <si>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</si>
  <si>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</si>
  <si>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</si>
  <si>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</si>
  <si>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</si>
  <si>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</si>
  <si>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</si>
  <si>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</si>
  <si>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</si>
  <si>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</si>
  <si>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</si>
  <si>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</si>
  <si>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</si>
  <si>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</si>
  <si>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</si>
  <si>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</si>
  <si>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</si>
  <si>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</si>
  <si>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</si>
  <si>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</si>
  <si>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</si>
  <si>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</si>
  <si>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</si>
  <si>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</si>
  <si>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</si>
  <si>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</si>
  <si>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</si>
  <si>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</si>
  <si>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</si>
  <si>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</si>
  <si>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</si>
  <si>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</si>
  <si>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</si>
  <si>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</si>
  <si>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</si>
  <si>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</si>
  <si>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</si>
  <si>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</si>
  <si>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</si>
  <si>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</si>
  <si>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</si>
  <si>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</si>
  <si>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</si>
  <si>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</si>
  <si>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</si>
  <si>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</si>
  <si>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</si>
  <si>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</si>
  <si>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</si>
  <si>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</si>
  <si>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</si>
  <si>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</si>
  <si>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</si>
  <si>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</si>
  <si>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</si>
  <si>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</si>
  <si>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</si>
  <si>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</si>
  <si>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</si>
  <si>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</si>
  <si>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</si>
  <si>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</si>
  <si>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</si>
  <si>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</si>
  <si>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</si>
  <si>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</si>
  <si>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</si>
  <si>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</si>
  <si>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</si>
  <si>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</si>
  <si>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</si>
  <si>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</si>
  <si>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</si>
  <si>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</si>
  <si>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</si>
  <si>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</si>
  <si>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</si>
  <si>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</si>
  <si>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</si>
  <si>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</si>
  <si>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</si>
  <si>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</si>
  <si>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</si>
  <si>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</si>
  <si>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</si>
  <si>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</si>
  <si>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</si>
  <si>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</si>
  <si>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</si>
  <si>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</si>
  <si>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</si>
  <si>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</si>
  <si>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</si>
  <si>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</si>
  <si>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</si>
  <si>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</si>
  <si>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</si>
  <si>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</si>
  <si>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</si>
  <si>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</si>
  <si>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</si>
  <si>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</si>
  <si>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</si>
  <si>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</si>
  <si>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</si>
  <si>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</si>
  <si>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</si>
  <si>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</si>
  <si>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</si>
  <si>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</si>
  <si>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</si>
  <si>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</si>
  <si>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</si>
  <si>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</si>
  <si>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</si>
  <si>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</si>
  <si>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</si>
  <si>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</si>
  <si>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</si>
  <si>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</si>
  <si>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</si>
  <si>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</si>
  <si>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</si>
  <si>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</si>
  <si>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</si>
  <si>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</si>
  <si>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</si>
  <si>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</si>
  <si>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</si>
  <si>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</si>
  <si>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</si>
  <si>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</si>
  <si>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</si>
  <si>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</si>
  <si>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</si>
  <si>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</si>
  <si>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</si>
  <si>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</si>
  <si>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</si>
  <si>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</si>
  <si>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</si>
  <si>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</si>
  <si>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</si>
  <si>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</si>
  <si>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</si>
  <si>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</si>
  <si>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</si>
  <si>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</si>
  <si>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</si>
  <si>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</si>
  <si>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</si>
  <si>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</si>
  <si>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</si>
  <si>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</si>
  <si>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</si>
  <si>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</si>
  <si>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</si>
  <si>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</si>
  <si>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</si>
  <si>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</si>
  <si>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</si>
  <si>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</si>
  <si>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</si>
  <si>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</si>
  <si>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</si>
  <si>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</si>
  <si>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</si>
  <si>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</si>
  <si>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</si>
  <si>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</si>
  <si>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</si>
  <si>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</si>
  <si>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</si>
  <si>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</si>
  <si>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</si>
  <si>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</si>
  <si>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</si>
  <si>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</si>
  <si>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</si>
  <si>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</si>
  <si>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</si>
  <si>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</si>
  <si>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</si>
  <si>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</si>
  <si>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</si>
  <si>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</si>
  <si>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</si>
  <si>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</si>
  <si>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</si>
  <si>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</si>
  <si>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</si>
  <si>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</si>
  <si>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</si>
  <si>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</si>
  <si>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</si>
  <si>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</si>
  <si>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</si>
  <si>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</si>
  <si>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</si>
  <si>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</si>
  <si>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</si>
  <si>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</si>
  <si>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</si>
  <si>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</si>
  <si>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</si>
  <si>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</si>
  <si>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</si>
  <si>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</si>
  <si>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</si>
  <si>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</si>
  <si>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</si>
  <si>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</si>
  <si>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</si>
  <si>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</si>
  <si>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</si>
  <si>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</si>
  <si>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</si>
  <si>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</si>
  <si>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</si>
  <si>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</si>
  <si>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</si>
  <si>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</si>
  <si>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</si>
  <si>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</si>
  <si>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</si>
  <si>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</si>
  <si>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</si>
  <si>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</si>
  <si>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</si>
  <si>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</si>
  <si>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</si>
  <si>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</si>
  <si>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</si>
  <si>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</si>
  <si>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</si>
  <si>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</si>
  <si>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</si>
  <si>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</si>
  <si>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</si>
  <si>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</si>
  <si>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</si>
  <si>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</si>
  <si>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</si>
  <si>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</si>
  <si>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</si>
  <si>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</si>
  <si>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</si>
  <si>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</si>
  <si>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</si>
  <si>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</si>
  <si>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</si>
  <si>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</si>
  <si>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</si>
  <si>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</si>
  <si>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</si>
  <si>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</si>
  <si>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</si>
  <si>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</si>
  <si>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</si>
  <si>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</si>
  <si>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</si>
  <si>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</si>
  <si>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</si>
  <si>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</si>
  <si>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</si>
  <si>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</si>
  <si>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</si>
  <si>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</si>
  <si>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</si>
  <si>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</si>
  <si>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</si>
  <si>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</si>
  <si>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</si>
  <si>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</si>
  <si>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</si>
  <si>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</si>
  <si>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</si>
  <si>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</si>
  <si>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</si>
  <si>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</si>
  <si>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</si>
  <si>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</si>
  <si>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</si>
  <si>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</si>
  <si>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</si>
  <si>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</si>
  <si>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</si>
  <si>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</si>
  <si>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</si>
  <si>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</si>
  <si>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</si>
  <si>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</si>
  <si>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</si>
  <si>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</si>
  <si>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</si>
  <si>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</si>
  <si>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</si>
  <si>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</si>
  <si>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</si>
  <si>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</si>
  <si>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</si>
  <si>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</si>
  <si>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</si>
  <si>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</si>
  <si>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</si>
  <si>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</si>
  <si>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</si>
  <si>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</si>
  <si>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</si>
  <si>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</si>
  <si>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</si>
  <si>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</si>
  <si>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</si>
  <si>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</si>
  <si>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</si>
  <si>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</si>
  <si>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</si>
  <si>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</si>
  <si>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</si>
  <si>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</si>
  <si>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</si>
  <si>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</si>
  <si>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</si>
  <si>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</si>
  <si>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</si>
  <si>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</si>
  <si>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</si>
  <si>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</si>
  <si>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</si>
  <si>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</si>
  <si>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</si>
  <si>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</si>
  <si>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</si>
  <si>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</si>
  <si>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</si>
  <si>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</si>
  <si>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</si>
  <si>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</si>
  <si>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</si>
  <si>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</si>
  <si>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</si>
  <si>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</si>
  <si>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</si>
  <si>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</si>
  <si>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</si>
  <si>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</si>
  <si>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</si>
  <si>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</si>
  <si>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</si>
  <si>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</si>
  <si>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</si>
  <si>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</si>
  <si>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</si>
  <si>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</si>
  <si>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</si>
  <si>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</si>
  <si>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</si>
  <si>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</si>
  <si>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</si>
  <si>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</si>
  <si>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</si>
  <si>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</si>
  <si>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</si>
  <si>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</si>
  <si>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</si>
  <si>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</si>
  <si>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</si>
  <si>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</si>
  <si>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</si>
  <si>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</si>
  <si>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</si>
  <si>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</si>
  <si>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</si>
  <si>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</si>
  <si>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</si>
  <si>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</si>
  <si>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</si>
  <si>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</si>
  <si>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</si>
  <si>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</si>
  <si>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</si>
  <si>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</si>
  <si>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</si>
  <si>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</si>
  <si>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</si>
  <si>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</si>
  <si>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</si>
  <si>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</si>
  <si>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</si>
  <si>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</si>
  <si>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</si>
  <si>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</si>
  <si>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</si>
  <si>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</si>
  <si>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</si>
  <si>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</si>
  <si>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</si>
  <si>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</si>
  <si>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</si>
  <si>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</si>
  <si>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</si>
  <si>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</si>
  <si>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</si>
  <si>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</si>
  <si>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</si>
  <si>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</si>
  <si>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</si>
  <si>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</si>
  <si>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</si>
  <si>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</si>
  <si>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</si>
  <si>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</si>
  <si>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</si>
  <si>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</si>
  <si>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</si>
  <si>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</si>
  <si>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</si>
  <si>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</si>
  <si>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</si>
  <si>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</si>
  <si>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</si>
  <si>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</si>
  <si>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</si>
  <si>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</si>
  <si>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</si>
  <si>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</si>
  <si>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</si>
  <si>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</si>
  <si>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</si>
  <si>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</si>
  <si>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</si>
  <si>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</si>
  <si>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</si>
  <si>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</si>
  <si>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</si>
  <si>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</si>
  <si>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</si>
  <si>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</si>
  <si>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</si>
  <si>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</si>
  <si>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</si>
  <si>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</si>
  <si>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</si>
  <si>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</si>
  <si>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</si>
  <si>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</si>
  <si>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</si>
  <si>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</si>
  <si>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</si>
  <si>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</si>
  <si>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</si>
  <si>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</si>
  <si>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</si>
  <si>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</si>
  <si>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</si>
  <si>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</si>
  <si>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</si>
  <si>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</si>
  <si>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</si>
  <si>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</si>
  <si>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</si>
  <si>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</si>
  <si>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</si>
  <si>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</si>
  <si>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</si>
  <si>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</si>
  <si>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</si>
  <si>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</si>
  <si>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</si>
  <si>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</si>
  <si>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</si>
  <si>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</si>
  <si>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</si>
  <si>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</si>
  <si>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</si>
  <si>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</si>
  <si>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</si>
  <si>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</si>
  <si>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</si>
  <si>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</si>
  <si>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</si>
  <si>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</si>
  <si>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</si>
  <si>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</si>
  <si>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</si>
  <si>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</si>
  <si>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</si>
  <si>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</si>
  <si>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</si>
  <si>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</si>
  <si>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</si>
  <si>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</si>
  <si>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</si>
  <si>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</si>
  <si>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</si>
  <si>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</si>
  <si>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</si>
  <si>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</si>
  <si>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</si>
  <si>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</si>
  <si>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</si>
  <si>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</si>
  <si>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</si>
  <si>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</si>
  <si>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</si>
  <si>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</si>
  <si>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</si>
  <si>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</si>
  <si>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</si>
  <si>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</si>
  <si>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</si>
  <si>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</si>
  <si>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</si>
  <si>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</si>
  <si>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</si>
  <si>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</si>
  <si>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</si>
  <si>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</si>
  <si>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</si>
  <si>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</si>
  <si>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</si>
  <si>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</si>
  <si>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</si>
  <si>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</si>
  <si>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</si>
  <si>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</si>
  <si>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</si>
  <si>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</si>
  <si>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</si>
  <si>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</si>
  <si>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</si>
  <si>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</si>
  <si>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</si>
  <si>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</si>
  <si>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</si>
  <si>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</si>
  <si>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</si>
  <si>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</si>
  <si>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</si>
  <si>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</si>
  <si>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</si>
  <si>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</si>
  <si>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</si>
  <si>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</si>
  <si>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</si>
  <si>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</si>
  <si>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</si>
  <si>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</si>
  <si>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</si>
  <si>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</si>
  <si>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</si>
  <si>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</si>
  <si>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</si>
  <si>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</si>
  <si>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</si>
  <si>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</si>
  <si>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</si>
  <si>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</si>
  <si>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</si>
  <si>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</si>
  <si>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</si>
  <si>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</si>
  <si>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</si>
  <si>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</si>
  <si>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</si>
  <si>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</si>
  <si>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</si>
  <si>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</si>
  <si>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</si>
  <si>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</si>
  <si>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</si>
  <si>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</si>
  <si>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</si>
  <si>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</si>
  <si>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</si>
  <si>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</si>
  <si>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</si>
  <si>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</si>
  <si>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</si>
  <si>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</si>
  <si>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</si>
  <si>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</si>
  <si>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</si>
  <si>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</si>
  <si>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</si>
  <si>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</si>
  <si>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</si>
  <si>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</si>
  <si>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</si>
  <si>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</si>
  <si>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</si>
  <si>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</si>
  <si>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</si>
  <si>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</si>
  <si>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</si>
  <si>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</si>
  <si>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</si>
  <si>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</si>
  <si>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</si>
  <si>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</si>
  <si>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</si>
  <si>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</si>
  <si>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</si>
  <si>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</si>
  <si>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</si>
  <si>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</si>
  <si>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</si>
  <si>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</si>
  <si>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</si>
  <si>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</si>
  <si>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</si>
  <si>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</si>
  <si>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</si>
  <si>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</si>
  <si>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</si>
  <si>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</si>
  <si>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</si>
  <si>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</si>
  <si>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</si>
  <si>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</si>
  <si>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</si>
  <si>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</si>
  <si>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</si>
  <si>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</si>
  <si>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</si>
  <si>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</si>
  <si>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</si>
  <si>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</si>
  <si>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</si>
  <si>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</si>
  <si>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</si>
  <si>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</si>
  <si>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</si>
  <si>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</si>
  <si>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</si>
  <si>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</si>
  <si>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</si>
  <si>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</si>
  <si>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</si>
  <si>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</si>
  <si>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</si>
  <si>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</si>
  <si>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</si>
  <si>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</si>
  <si>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</si>
  <si>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</si>
  <si>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</si>
  <si>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</si>
  <si>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</si>
  <si>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</si>
  <si>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</si>
  <si>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</si>
  <si>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</si>
  <si>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</si>
  <si>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</si>
  <si>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</si>
  <si>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</si>
  <si>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</si>
  <si>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</si>
  <si>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</si>
  <si>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</si>
  <si>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</si>
  <si>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</si>
  <si>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</si>
  <si>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</si>
  <si>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</si>
  <si>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</si>
  <si>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</si>
  <si>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</si>
  <si>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</si>
  <si>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</si>
  <si>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</si>
  <si>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</si>
  <si>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</si>
  <si>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</si>
  <si>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</si>
  <si>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</si>
  <si>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</si>
  <si>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</si>
  <si>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</si>
  <si>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</si>
  <si>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</si>
  <si>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</si>
  <si>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</si>
  <si>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</si>
  <si>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</si>
  <si>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</si>
  <si>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</si>
  <si>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</si>
  <si>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</si>
  <si>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</si>
  <si>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</si>
  <si>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</si>
  <si>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</si>
  <si>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</si>
  <si>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</si>
  <si>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</si>
  <si>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</si>
  <si>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</si>
  <si>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</si>
  <si>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</si>
  <si>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</si>
  <si>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</si>
  <si>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</si>
  <si>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</si>
  <si>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</si>
  <si>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</si>
  <si>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</si>
  <si>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</si>
  <si>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</si>
  <si>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</si>
  <si>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</si>
  <si>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</si>
  <si>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</si>
  <si>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</si>
  <si>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</si>
  <si>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</si>
  <si>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</si>
  <si>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</si>
  <si>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</si>
  <si>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</si>
  <si>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</si>
  <si>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</si>
  <si>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</si>
  <si>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</si>
  <si>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</si>
  <si>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</si>
  <si>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</si>
  <si>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</si>
  <si>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</si>
  <si>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</si>
  <si>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</si>
  <si>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</si>
  <si>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</si>
  <si>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</si>
  <si>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</si>
  <si>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</si>
  <si>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</si>
  <si>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</si>
  <si>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</si>
  <si>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</si>
  <si>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</si>
  <si>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</si>
  <si>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</si>
  <si>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</si>
  <si>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</si>
  <si>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</si>
  <si>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</si>
  <si>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</si>
  <si>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</si>
  <si>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</si>
  <si>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</si>
  <si>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</si>
  <si>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</si>
  <si>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</si>
  <si>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</si>
  <si>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</si>
  <si>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</si>
  <si>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</si>
  <si>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</si>
  <si>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</si>
  <si>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</si>
  <si>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</si>
  <si>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</si>
  <si>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</si>
  <si>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</si>
  <si>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</si>
  <si>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</si>
  <si>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</si>
  <si>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</si>
  <si>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</si>
  <si>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</si>
  <si>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</si>
  <si>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</si>
  <si>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</si>
  <si>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</si>
  <si>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</si>
  <si>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</si>
  <si>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</si>
  <si>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</si>
  <si>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</si>
  <si>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</si>
  <si>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</si>
  <si>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</si>
  <si>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</si>
  <si>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</si>
  <si>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</si>
  <si>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</si>
  <si>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</si>
  <si>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</si>
  <si>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</si>
  <si>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</si>
  <si>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</si>
  <si>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</si>
  <si>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</si>
  <si>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</si>
  <si>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</si>
  <si>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</si>
  <si>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</si>
  <si>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</si>
  <si>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</si>
  <si>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</si>
  <si>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</si>
  <si>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</si>
  <si>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</si>
  <si>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</si>
  <si>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</si>
  <si>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</si>
  <si>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</si>
  <si>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</si>
  <si>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</si>
  <si>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</si>
  <si>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</si>
  <si>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</si>
  <si>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</si>
  <si>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</si>
  <si>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</si>
  <si>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</si>
  <si>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</si>
  <si>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</si>
  <si>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</si>
  <si>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</si>
  <si>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</si>
  <si>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</si>
  <si>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</si>
  <si>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</si>
  <si>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</si>
  <si>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</si>
  <si>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</si>
  <si>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</si>
  <si>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</si>
  <si>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</si>
  <si>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</si>
  <si>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</si>
  <si>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</si>
  <si>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</si>
  <si>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</si>
  <si>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</si>
  <si>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</si>
  <si>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</si>
  <si>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</si>
  <si>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</si>
  <si>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</si>
  <si>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</si>
  <si>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</si>
  <si>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</si>
  <si>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</si>
  <si>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</si>
  <si>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</si>
  <si>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</si>
  <si>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</si>
  <si>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</si>
  <si>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</si>
  <si>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</si>
  <si>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</si>
  <si>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</si>
  <si>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</si>
  <si>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</si>
  <si>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</si>
  <si>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</si>
  <si>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</si>
  <si>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</si>
  <si>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</si>
  <si>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</si>
  <si>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</si>
  <si>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</si>
  <si>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</si>
  <si>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</si>
  <si>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</si>
  <si>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</si>
  <si>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</si>
  <si>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</si>
  <si>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</si>
  <si>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</si>
  <si>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</si>
  <si>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</si>
  <si>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</si>
  <si>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</si>
  <si>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</si>
  <si>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</si>
  <si>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</si>
  <si>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</si>
  <si>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</si>
  <si>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</si>
  <si>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</si>
  <si>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</si>
  <si>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</si>
  <si>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</si>
  <si>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</si>
  <si>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</si>
  <si>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</si>
  <si>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</si>
  <si>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</si>
  <si>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</si>
  <si>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</si>
  <si>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</si>
  <si>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</si>
  <si>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</si>
  <si>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</si>
  <si>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</si>
  <si>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</si>
  <si>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</si>
  <si>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</si>
  <si>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</si>
  <si>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</si>
  <si>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</si>
  <si>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</si>
  <si>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</si>
  <si>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</si>
  <si>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</si>
  <si>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</si>
  <si>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</si>
  <si>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</si>
  <si>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</si>
  <si>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</si>
  <si>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</si>
  <si>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</si>
  <si>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</si>
  <si>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</si>
  <si>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</si>
  <si>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</si>
  <si>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</si>
  <si>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</si>
  <si>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</si>
  <si>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</si>
  <si>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</si>
  <si>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</si>
  <si>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</si>
  <si>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</si>
  <si>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</si>
  <si>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</si>
  <si>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</si>
  <si>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</si>
  <si>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</si>
  <si>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</si>
  <si>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</si>
  <si>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</si>
  <si>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</si>
  <si>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</si>
  <si>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</si>
  <si>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</si>
  <si>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</si>
  <si>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</si>
  <si>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</si>
  <si>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</si>
  <si>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</si>
  <si>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</si>
  <si>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</si>
  <si>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</si>
  <si>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</si>
  <si>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</si>
  <si>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</si>
  <si>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</si>
  <si>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</si>
  <si>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</si>
  <si>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</si>
  <si>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</si>
  <si>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</si>
  <si>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</si>
  <si>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</si>
  <si>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</si>
  <si>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</si>
  <si>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</si>
  <si>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</si>
  <si>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</si>
  <si>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</si>
  <si>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</si>
  <si>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</si>
  <si>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</si>
  <si>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</si>
  <si>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</si>
  <si>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</si>
  <si>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</si>
  <si>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</si>
  <si>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</si>
  <si>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</si>
  <si>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</si>
  <si>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</si>
  <si>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</si>
  <si>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</si>
  <si>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</si>
  <si>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</si>
  <si>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</si>
  <si>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</si>
  <si>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</si>
  <si>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</si>
  <si>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</si>
  <si>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</si>
  <si>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</si>
  <si>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</si>
  <si>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</si>
  <si>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</si>
  <si>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</si>
  <si>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</si>
  <si>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</si>
  <si>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</si>
  <si>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</si>
  <si>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</si>
  <si>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</si>
  <si>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</si>
  <si>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</si>
  <si>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</si>
  <si>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</si>
  <si>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</si>
  <si>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</si>
  <si>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</si>
  <si>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</si>
  <si>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</si>
  <si>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</si>
  <si>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</si>
  <si>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</si>
  <si>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</si>
  <si>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</si>
  <si>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</si>
  <si>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</si>
  <si>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</si>
  <si>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</si>
  <si>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</si>
  <si>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</si>
  <si>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</si>
  <si>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</si>
  <si>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</si>
  <si>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</si>
  <si>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</si>
  <si>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</si>
  <si>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</si>
  <si>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</si>
  <si>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</si>
  <si>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</si>
  <si>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</si>
  <si>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</si>
  <si>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</si>
  <si>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</si>
  <si>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</si>
  <si>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</si>
  <si>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</si>
  <si>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</si>
  <si>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</si>
  <si>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</si>
  <si>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</si>
  <si>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</si>
  <si>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</si>
  <si>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</si>
  <si>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</si>
  <si>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</si>
  <si>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</si>
  <si>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</si>
  <si>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</si>
  <si>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</si>
  <si>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</si>
  <si>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</si>
  <si>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</si>
  <si>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</si>
  <si>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</si>
  <si>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</si>
  <si>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</si>
  <si>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</si>
  <si>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</si>
  <si>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</si>
  <si>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</si>
  <si>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</si>
  <si>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</si>
  <si>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</si>
  <si>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</si>
  <si>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</si>
  <si>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</si>
  <si>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</si>
  <si>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</si>
  <si>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</si>
  <si>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</si>
  <si>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</si>
  <si>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</si>
  <si>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</si>
  <si>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</si>
  <si>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</si>
  <si>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</si>
  <si>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</si>
  <si>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</si>
  <si>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</si>
  <si>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</si>
  <si>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</si>
  <si>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</si>
  <si>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</si>
  <si>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</si>
  <si>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</si>
  <si>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</si>
  <si>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</si>
  <si>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</si>
  <si>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</si>
  <si>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</si>
  <si>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</si>
  <si>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</si>
  <si>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</si>
  <si>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</si>
  <si>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</si>
  <si>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</si>
  <si>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</si>
  <si>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</si>
  <si>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</si>
  <si>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</si>
  <si>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</si>
  <si>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</si>
  <si>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</si>
  <si>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</si>
  <si>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</si>
  <si>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</si>
  <si>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</si>
  <si>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</si>
  <si>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</si>
  <si>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</si>
  <si>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</si>
  <si>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</si>
  <si>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</si>
  <si>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</si>
  <si>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</si>
  <si>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</si>
  <si>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</si>
  <si>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</si>
  <si>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</si>
  <si>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</si>
  <si>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</si>
  <si>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</si>
  <si>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</si>
  <si>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</si>
  <si>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</si>
  <si>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</si>
  <si>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</si>
  <si>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</si>
  <si>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</si>
  <si>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</si>
  <si>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</si>
  <si>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</si>
  <si>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</si>
  <si>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</si>
  <si>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</si>
  <si>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</si>
  <si>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</si>
  <si>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</si>
  <si>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</si>
  <si>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</si>
  <si>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</si>
  <si>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</si>
  <si>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</si>
  <si>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</si>
  <si>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</si>
  <si>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</si>
  <si>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</si>
  <si>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</si>
  <si>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</si>
  <si>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</si>
  <si>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</si>
  <si>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</si>
  <si>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</si>
  <si>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</si>
  <si>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</si>
  <si>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</si>
  <si>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</si>
  <si>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</si>
  <si>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</si>
  <si>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</si>
  <si>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</si>
  <si>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</si>
  <si>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</si>
  <si>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</si>
  <si>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</si>
  <si>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</si>
  <si>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</si>
  <si>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</si>
  <si>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</si>
  <si>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</si>
  <si>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</si>
  <si>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</si>
  <si>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</si>
  <si>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</si>
  <si>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</si>
  <si>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</si>
  <si>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</si>
  <si>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</si>
  <si>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</si>
  <si>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</si>
  <si>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</si>
  <si>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</si>
  <si>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</si>
  <si>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</si>
  <si>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</si>
  <si>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</si>
  <si>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</si>
  <si>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</si>
  <si>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</si>
  <si>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</si>
  <si>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</si>
  <si>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</si>
  <si>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</si>
  <si>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</si>
  <si>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</si>
  <si>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</si>
  <si>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</si>
  <si>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</si>
  <si>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</si>
  <si>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</si>
  <si>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</si>
  <si>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</si>
  <si>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</si>
  <si>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</si>
  <si>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</si>
  <si>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</si>
  <si>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</si>
  <si>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</si>
  <si>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</si>
  <si>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</si>
  <si>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</si>
  <si>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</si>
  <si>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</si>
  <si>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</si>
  <si>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</si>
  <si>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</si>
  <si>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</si>
  <si>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</si>
  <si>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</si>
  <si>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</si>
  <si>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</si>
  <si>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</si>
  <si>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</si>
  <si>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</si>
  <si>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</si>
  <si>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</si>
  <si>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</si>
  <si>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</si>
  <si>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</si>
  <si>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</si>
  <si>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</si>
  <si>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</si>
  <si>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</si>
  <si>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</si>
  <si>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</si>
  <si>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</si>
  <si>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</si>
  <si>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</si>
  <si>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</si>
  <si>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</si>
  <si>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</si>
  <si>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</si>
  <si>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</si>
  <si>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</si>
  <si>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</si>
  <si>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</si>
  <si>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</si>
  <si>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</si>
  <si>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</si>
  <si>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</si>
  <si>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</si>
  <si>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</si>
  <si>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</si>
  <si>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</si>
  <si>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</si>
  <si>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</si>
  <si>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</si>
  <si>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</si>
  <si>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</si>
  <si>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</si>
  <si>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</si>
  <si>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</si>
  <si>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</si>
  <si>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</si>
  <si>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</si>
  <si>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</si>
  <si>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</si>
  <si>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</si>
  <si>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</si>
  <si>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</si>
  <si>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</si>
  <si>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</si>
  <si>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</si>
  <si>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</si>
  <si>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</si>
  <si>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</si>
  <si>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</si>
  <si>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</si>
  <si>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</si>
  <si>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</si>
  <si>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</si>
  <si>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</si>
  <si>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</si>
  <si>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</si>
  <si>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</si>
  <si>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</si>
  <si>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</si>
  <si>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</si>
  <si>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</si>
  <si>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</si>
  <si>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</si>
  <si>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</si>
  <si>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</si>
  <si>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</si>
  <si>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</si>
  <si>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</si>
  <si>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</si>
  <si>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</si>
  <si>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</si>
  <si>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</si>
  <si>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</si>
  <si>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</si>
  <si>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</si>
  <si>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</si>
  <si>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</si>
  <si>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</si>
  <si>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</si>
  <si>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</si>
  <si>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</si>
  <si>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</si>
  <si>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</si>
  <si>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</si>
  <si>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</si>
  <si>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</si>
  <si>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</si>
  <si>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</si>
  <si>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</si>
  <si>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</si>
  <si>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</si>
  <si>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</si>
  <si>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</si>
  <si>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</si>
  <si>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</si>
  <si>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</si>
  <si>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</si>
  <si>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</si>
  <si>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</si>
  <si>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</si>
  <si>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</si>
  <si>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</si>
  <si>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</si>
  <si>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</si>
  <si>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</si>
  <si>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</si>
  <si>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</si>
  <si>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</si>
  <si>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</si>
  <si>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</si>
  <si>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</si>
  <si>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</si>
  <si>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</si>
  <si>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</si>
  <si>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</si>
  <si>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</si>
  <si>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</si>
  <si>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</si>
  <si>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</si>
  <si>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</si>
  <si>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</si>
  <si>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</si>
  <si>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</si>
  <si>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</si>
  <si>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</si>
  <si>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</si>
  <si>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</si>
  <si>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</si>
  <si>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</si>
  <si>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</si>
  <si>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</si>
  <si>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</si>
  <si>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</si>
  <si>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</si>
  <si>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</si>
  <si>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</si>
  <si>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</si>
  <si>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</si>
  <si>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</si>
  <si>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</si>
  <si>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</si>
  <si>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</si>
  <si>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</si>
  <si>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</si>
  <si>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</si>
  <si>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</si>
  <si>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</si>
  <si>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</si>
  <si>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</si>
  <si>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</si>
  <si>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</si>
  <si>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</si>
  <si>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</si>
  <si>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</si>
  <si>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</si>
  <si>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</si>
  <si>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</si>
  <si>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</si>
  <si>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</si>
  <si>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</si>
  <si>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</si>
  <si>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</si>
  <si>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</si>
  <si>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</si>
  <si>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</si>
  <si>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</si>
  <si>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</si>
  <si>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</si>
  <si>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</si>
  <si>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</si>
  <si>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</si>
  <si>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</si>
  <si>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</si>
  <si>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</si>
  <si>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</si>
  <si>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</si>
  <si>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</si>
  <si>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</si>
  <si>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</si>
  <si>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</si>
  <si>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</si>
  <si>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</si>
  <si>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</si>
  <si>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</si>
  <si>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</si>
  <si>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</si>
  <si>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</si>
  <si>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</si>
  <si>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</si>
  <si>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</si>
  <si>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</si>
  <si>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</si>
  <si>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</si>
  <si>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</si>
  <si>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</si>
  <si>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</si>
  <si>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</si>
  <si>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</si>
  <si>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</si>
  <si>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</si>
  <si>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</si>
  <si>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</si>
  <si>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</si>
  <si>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</si>
  <si>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</si>
  <si>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</si>
  <si>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</si>
  <si>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</si>
  <si>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</si>
  <si>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</si>
  <si>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</si>
  <si>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</si>
  <si>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</si>
  <si>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</si>
  <si>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</si>
  <si>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</si>
  <si>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</si>
  <si>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</si>
  <si>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</si>
  <si>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</si>
  <si>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</si>
  <si>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</si>
  <si>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</si>
  <si>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</si>
  <si>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</si>
  <si>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</si>
  <si>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</si>
  <si>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</si>
  <si>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</si>
  <si>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</si>
  <si>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</si>
  <si>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</si>
  <si>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</si>
  <si>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</si>
  <si>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</si>
  <si>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</si>
  <si>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</si>
  <si>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</si>
  <si>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</si>
  <si>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</si>
  <si>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</si>
  <si>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</si>
  <si>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</si>
  <si>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</si>
  <si>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</si>
  <si>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</si>
  <si>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</si>
  <si>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</si>
  <si>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</si>
  <si>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</si>
  <si>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</si>
  <si>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</si>
  <si>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</si>
  <si>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</si>
  <si>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</si>
  <si>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</si>
  <si>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</si>
  <si>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</si>
  <si>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</si>
  <si>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</si>
  <si>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</si>
  <si>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</si>
  <si>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</si>
  <si>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</si>
  <si>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</si>
  <si>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</si>
  <si>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</si>
  <si>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</si>
  <si>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</si>
  <si>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</si>
  <si>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</si>
  <si>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</si>
  <si>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</si>
  <si>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</si>
  <si>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</si>
  <si>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</si>
  <si>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</si>
  <si>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</si>
  <si>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</si>
  <si>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</si>
  <si>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</si>
  <si>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</si>
  <si>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</si>
  <si>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</si>
  <si>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</si>
  <si>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</si>
  <si>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</si>
  <si>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</si>
  <si>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</si>
  <si>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</si>
  <si>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</si>
  <si>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</si>
  <si>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</si>
  <si>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</si>
  <si>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</si>
  <si>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</si>
  <si>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</si>
  <si>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</si>
  <si>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</si>
  <si>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</si>
  <si>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</si>
  <si>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</si>
  <si>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</si>
  <si>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</si>
  <si>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</si>
  <si>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</si>
  <si>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</si>
  <si>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</si>
  <si>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</si>
  <si>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</si>
  <si>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</si>
  <si>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</si>
  <si>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</si>
  <si>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</si>
  <si>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</si>
  <si>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</si>
  <si>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</si>
  <si>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</si>
  <si>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</si>
  <si>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</si>
  <si>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</si>
  <si>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</si>
  <si>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</si>
  <si>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</si>
  <si>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</si>
  <si>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</si>
  <si>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</si>
  <si>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</si>
  <si>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</si>
  <si>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</si>
  <si>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</si>
  <si>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</si>
  <si>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</si>
  <si>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</si>
  <si>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</si>
  <si>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</si>
  <si>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</si>
  <si>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</si>
  <si>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</si>
  <si>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</si>
  <si>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</si>
  <si>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</si>
  <si>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</si>
  <si>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</si>
  <si>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</si>
  <si>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</si>
  <si>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</si>
  <si>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</si>
  <si>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</si>
  <si>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</si>
  <si>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</si>
  <si>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</si>
  <si>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</si>
  <si>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</si>
  <si>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</si>
  <si>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</si>
  <si>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</si>
  <si>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</si>
  <si>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</si>
  <si>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</si>
  <si>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</si>
  <si>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</si>
  <si>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</si>
  <si>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</si>
  <si>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</si>
  <si>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</si>
  <si>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</si>
  <si>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</si>
  <si>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</si>
  <si>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</si>
  <si>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</si>
  <si>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</si>
  <si>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</si>
  <si>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</si>
  <si>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</si>
  <si>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</si>
  <si>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</si>
  <si>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</si>
  <si>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</si>
  <si>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</si>
  <si>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</si>
  <si>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</si>
  <si>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</si>
  <si>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</si>
  <si>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</si>
  <si>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</si>
  <si>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</si>
  <si>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</si>
  <si>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</si>
  <si>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</si>
  <si>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</si>
  <si>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</si>
  <si>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</si>
  <si>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</si>
  <si>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</si>
  <si>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</si>
  <si>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</si>
  <si>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</si>
  <si>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</si>
  <si>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</si>
  <si>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</si>
  <si>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</si>
  <si>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</si>
  <si>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</si>
  <si>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</si>
  <si>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</si>
  <si>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</si>
  <si>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</si>
  <si>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</si>
  <si>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</si>
  <si>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</si>
  <si>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</si>
  <si>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</si>
  <si>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</si>
  <si>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</si>
  <si>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</si>
  <si>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</si>
  <si>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</si>
  <si>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</si>
  <si>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</si>
  <si>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</si>
  <si>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</si>
  <si>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</si>
  <si>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</si>
  <si>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</si>
  <si>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</si>
  <si>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</si>
  <si>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</si>
  <si>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</si>
  <si>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</si>
  <si>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</si>
  <si>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</si>
  <si>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</si>
  <si>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</si>
  <si>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</si>
  <si>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</si>
  <si>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</si>
  <si>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</si>
  <si>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</si>
  <si>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</si>
  <si>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</si>
  <si>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</si>
  <si>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</si>
  <si>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</si>
  <si>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</si>
  <si>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</si>
  <si>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</si>
  <si>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</si>
  <si>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</si>
  <si>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</si>
  <si>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</si>
  <si>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</si>
  <si>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</si>
  <si>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</si>
  <si>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</si>
  <si>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</si>
  <si>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</si>
  <si>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</si>
  <si>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</si>
  <si>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</si>
  <si>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</si>
  <si>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</si>
  <si>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</si>
  <si>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</si>
  <si>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</si>
  <si>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</si>
  <si>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</si>
  <si>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</si>
  <si>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</si>
  <si>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</si>
  <si>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</si>
  <si>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</si>
  <si>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</si>
  <si>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</si>
  <si>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</si>
  <si>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</si>
  <si>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</si>
  <si>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</si>
  <si>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</si>
  <si>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</si>
  <si>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</si>
  <si>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</si>
  <si>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</si>
  <si>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</si>
  <si>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</si>
  <si>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</si>
  <si>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</si>
  <si>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</si>
  <si>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</si>
  <si>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</si>
  <si>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</si>
  <si>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</si>
  <si>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</si>
  <si>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</si>
  <si>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</si>
  <si>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</si>
  <si>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</si>
  <si>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</si>
  <si>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</si>
  <si>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</si>
  <si>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</si>
  <si>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</si>
  <si>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</si>
  <si>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</si>
  <si>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</si>
  <si>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</si>
  <si>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</si>
  <si>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</si>
  <si>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</si>
  <si>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</si>
  <si>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</si>
  <si>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</si>
  <si>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</si>
  <si>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</si>
  <si>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</si>
  <si>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</si>
  <si>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</si>
  <si>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</si>
  <si>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</si>
  <si>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</si>
  <si>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</si>
  <si>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</si>
  <si>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</si>
  <si>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</si>
  <si>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</si>
  <si>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</si>
  <si>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</si>
  <si>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</si>
  <si>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</si>
  <si>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</si>
  <si>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</si>
  <si>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</si>
  <si>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</si>
  <si>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</si>
  <si>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</si>
  <si>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</si>
  <si>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</si>
  <si>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</si>
  <si>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</si>
  <si>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</si>
  <si>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</si>
  <si>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</si>
  <si>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</si>
  <si>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</si>
  <si>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</si>
  <si>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</si>
  <si>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</si>
  <si>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</si>
  <si>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</si>
  <si>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</si>
  <si>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</si>
  <si>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</si>
  <si>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</si>
  <si>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</si>
  <si>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</si>
  <si>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</si>
  <si>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</si>
  <si>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</si>
  <si>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</si>
  <si>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</si>
  <si>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</si>
  <si>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</si>
  <si>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</si>
  <si>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</si>
  <si>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</si>
  <si>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</si>
  <si>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</si>
  <si>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</si>
  <si>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</si>
  <si>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</si>
  <si>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</si>
  <si>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</si>
  <si>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</si>
  <si>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</si>
  <si>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</si>
  <si>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</si>
  <si>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</si>
  <si>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</si>
  <si>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</si>
  <si>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</si>
  <si>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</si>
  <si>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</si>
  <si>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</si>
  <si>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</si>
  <si>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</si>
  <si>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</si>
  <si>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</si>
  <si>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</si>
  <si>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</si>
  <si>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</si>
  <si>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</si>
  <si>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</si>
  <si>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</si>
  <si>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</si>
  <si>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</si>
  <si>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</si>
  <si>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</si>
  <si>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</si>
  <si>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</si>
  <si>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</si>
  <si>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</si>
  <si>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</si>
  <si>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</si>
  <si>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</si>
  <si>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</si>
  <si>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</si>
  <si>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</si>
  <si>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</si>
  <si>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</si>
  <si>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</si>
  <si>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</si>
  <si>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</si>
  <si>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</si>
  <si>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</si>
  <si>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</si>
  <si>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</si>
  <si>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</si>
  <si>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</si>
  <si>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</si>
  <si>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</si>
  <si>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</si>
  <si>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</si>
  <si>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</si>
  <si>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</si>
  <si>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</si>
  <si>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</si>
  <si>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</si>
  <si>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</si>
  <si>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</si>
  <si>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</si>
  <si>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</si>
  <si>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</si>
  <si>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</si>
  <si>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</si>
  <si>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</si>
  <si>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</si>
  <si>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</si>
  <si>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</si>
  <si>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</si>
  <si>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</si>
  <si>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</si>
  <si>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</si>
  <si>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</si>
  <si>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</si>
  <si>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</si>
  <si>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</si>
  <si>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</si>
  <si>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</si>
  <si>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</si>
  <si>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</si>
  <si>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</si>
  <si>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</si>
  <si>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</si>
  <si>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</si>
  <si>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</si>
  <si>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</si>
  <si>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</si>
  <si>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</si>
  <si>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</si>
  <si>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</si>
  <si>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</si>
  <si>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</si>
  <si>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</si>
  <si>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</si>
  <si>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</si>
  <si>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</si>
  <si>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</si>
  <si>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</si>
  <si>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</si>
  <si>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</si>
  <si>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</si>
  <si>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</si>
  <si>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</si>
  <si>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</si>
  <si>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</si>
  <si>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</si>
  <si>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</si>
  <si>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</si>
  <si>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</si>
  <si>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</si>
  <si>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</si>
  <si>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</si>
  <si>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</si>
  <si>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</si>
  <si>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</si>
  <si>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</si>
  <si>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</si>
  <si>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</si>
  <si>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</si>
  <si>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</si>
  <si>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</si>
  <si>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</si>
  <si>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</si>
  <si>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</si>
  <si>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</si>
  <si>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</si>
  <si>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</si>
  <si>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</si>
  <si>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</si>
  <si>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</si>
  <si>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</si>
  <si>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</si>
  <si>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</si>
  <si>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</si>
  <si>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</si>
  <si>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</si>
  <si>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</si>
  <si>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</si>
  <si>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</si>
  <si>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</si>
  <si>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</si>
  <si>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</si>
  <si>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</si>
  <si>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</si>
  <si>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</si>
  <si>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</si>
  <si>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</si>
  <si>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</si>
  <si>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</si>
  <si>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</si>
  <si>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</si>
  <si>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</si>
  <si>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</si>
  <si>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</si>
  <si>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</si>
  <si>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</si>
  <si>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</si>
  <si>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</si>
  <si>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</si>
  <si>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</si>
  <si>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</si>
  <si>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</si>
  <si>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</si>
  <si>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</si>
  <si>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</si>
  <si>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</si>
  <si>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</si>
  <si>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</si>
  <si>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</si>
  <si>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</si>
  <si>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</si>
  <si>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</si>
  <si>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</si>
  <si>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</si>
  <si>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</si>
  <si>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</si>
  <si>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</si>
  <si>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</si>
  <si>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</si>
  <si>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</si>
  <si>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</si>
  <si>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</si>
  <si>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</si>
  <si>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</si>
  <si>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</si>
  <si>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</si>
  <si>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</si>
  <si>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</si>
  <si>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</si>
  <si>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</si>
  <si>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</si>
  <si>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</si>
  <si>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</si>
  <si>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</si>
  <si>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</si>
  <si>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</si>
  <si>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</si>
  <si>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</si>
  <si>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</si>
  <si>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</si>
  <si>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</si>
  <si>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</si>
  <si>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</si>
  <si>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</si>
  <si>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</si>
  <si>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</si>
  <si>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</si>
  <si>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</si>
  <si>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</si>
  <si>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</si>
  <si>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</si>
  <si>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</si>
  <si>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</si>
  <si>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</si>
  <si>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</si>
  <si>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</si>
  <si>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</si>
  <si>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</si>
  <si>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</si>
  <si>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</si>
  <si>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</si>
  <si>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</si>
  <si>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</si>
  <si>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</si>
  <si>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</si>
  <si>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</si>
  <si>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</si>
  <si>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</si>
  <si>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</si>
  <si>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</si>
  <si>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</si>
  <si>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</si>
  <si>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</si>
  <si>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</si>
  <si>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</si>
  <si>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</si>
  <si>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</si>
  <si>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</si>
  <si>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</si>
  <si>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</si>
  <si>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</si>
  <si>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</si>
  <si>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</si>
  <si>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</si>
  <si>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</si>
  <si>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</si>
  <si>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</si>
  <si>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</si>
  <si>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</si>
  <si>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</si>
  <si>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</si>
  <si>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</si>
  <si>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</si>
  <si>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</si>
  <si>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</si>
  <si>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</si>
  <si>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</si>
  <si>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</si>
  <si>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</si>
  <si>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</si>
  <si>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</si>
  <si>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</si>
  <si>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</si>
  <si>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</si>
  <si>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</si>
  <si>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</si>
  <si>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</si>
  <si>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</si>
  <si>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</si>
  <si>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</si>
  <si>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</si>
  <si>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</si>
  <si>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</si>
  <si>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</si>
  <si>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</si>
  <si>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</si>
  <si>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</si>
  <si>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</si>
  <si>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</si>
  <si>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</si>
  <si>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</si>
  <si>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</si>
  <si>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</si>
  <si>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</si>
  <si>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</si>
  <si>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</si>
  <si>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</si>
  <si>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</si>
  <si>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</si>
  <si>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</si>
  <si>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</si>
  <si>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</si>
  <si>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</si>
  <si>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</si>
  <si>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</si>
  <si>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</si>
  <si>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</si>
  <si>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</si>
  <si>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</si>
  <si>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</si>
  <si>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</si>
  <si>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</si>
  <si>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</si>
  <si>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</si>
  <si>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</si>
  <si>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</si>
  <si>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</si>
  <si>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</si>
  <si>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</si>
  <si>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</si>
  <si>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</si>
  <si>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</si>
  <si>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</si>
  <si>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</si>
  <si>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</si>
  <si>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</si>
  <si>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</si>
  <si>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</si>
  <si>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</si>
  <si>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</si>
  <si>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</si>
  <si>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</si>
  <si>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</si>
  <si>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</si>
  <si>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</si>
  <si>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</si>
  <si>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</si>
  <si>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</si>
  <si>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</si>
  <si>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</si>
  <si>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</si>
  <si>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</si>
  <si>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</si>
  <si>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</si>
  <si>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</si>
  <si>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</si>
  <si>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</si>
  <si>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</si>
  <si>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</si>
  <si>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</si>
  <si>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</si>
  <si>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</si>
  <si>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</si>
  <si>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</si>
  <si>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</si>
  <si>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</si>
  <si>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</si>
  <si>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</si>
  <si>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</si>
  <si>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</si>
  <si>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</si>
  <si>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</si>
  <si>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</si>
  <si>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</si>
  <si>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</si>
  <si>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</si>
  <si>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</si>
  <si>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</si>
  <si>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</si>
  <si>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</si>
  <si>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</si>
  <si>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</si>
  <si>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</si>
  <si>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</si>
  <si>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</si>
  <si>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</si>
  <si>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</si>
  <si>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</si>
  <si>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</si>
  <si>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</si>
  <si>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</si>
  <si>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</si>
  <si>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</si>
  <si>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</si>
  <si>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</si>
  <si>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</si>
  <si>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</si>
  <si>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</si>
  <si>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</si>
  <si>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</si>
  <si>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</si>
  <si>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</si>
  <si>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</si>
  <si>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</si>
  <si>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</si>
  <si>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</si>
  <si>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</si>
  <si>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</si>
  <si>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</si>
  <si>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</si>
  <si>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</si>
  <si>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</si>
  <si>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</si>
  <si>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</si>
  <si>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</si>
  <si>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</si>
  <si>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</si>
  <si>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</si>
  <si>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</si>
  <si>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</si>
  <si>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</si>
  <si>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</si>
  <si>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</si>
  <si>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</si>
  <si>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</si>
  <si>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</si>
  <si>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</si>
  <si>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</si>
  <si>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</si>
  <si>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</si>
  <si>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</si>
  <si>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</si>
  <si>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</si>
  <si>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</si>
  <si>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</si>
  <si>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</si>
  <si>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</si>
  <si>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</si>
  <si>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</si>
  <si>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</si>
  <si>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</si>
  <si>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</si>
  <si>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</si>
  <si>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</si>
  <si>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</si>
  <si>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</si>
  <si>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</si>
  <si>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</si>
  <si>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</si>
  <si>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</si>
  <si>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</si>
  <si>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</si>
  <si>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</si>
  <si>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</si>
  <si>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</si>
  <si>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</si>
  <si>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</si>
  <si>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</si>
  <si>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</si>
  <si>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</si>
  <si>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</si>
  <si>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</si>
  <si>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</si>
  <si>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</si>
  <si>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</si>
  <si>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</si>
  <si>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</si>
  <si>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</si>
  <si>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</si>
  <si>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</si>
  <si>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</si>
  <si>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</si>
  <si>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</si>
  <si>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</si>
  <si>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</si>
  <si>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</si>
  <si>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</si>
  <si>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</si>
  <si>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</si>
  <si>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</si>
  <si>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</si>
  <si>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</si>
  <si>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</si>
  <si>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</si>
  <si>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</si>
  <si>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</si>
  <si>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</si>
  <si>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</si>
  <si>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</si>
  <si>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</si>
  <si>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</si>
  <si>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</si>
  <si>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</si>
  <si>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</si>
  <si>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</si>
  <si>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</si>
  <si>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</si>
  <si>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</si>
  <si>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</si>
  <si>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</si>
  <si>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</si>
  <si>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</si>
  <si>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</si>
  <si>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</si>
  <si>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</si>
  <si>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</si>
  <si>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</si>
  <si>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</si>
  <si>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</si>
  <si>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</si>
  <si>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</si>
  <si>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</si>
  <si>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</si>
  <si>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</si>
  <si>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</si>
  <si>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</si>
  <si>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</si>
  <si>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</si>
  <si>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</si>
  <si>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</si>
  <si>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</si>
  <si>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</si>
  <si>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</si>
  <si>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</si>
  <si>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</si>
  <si>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</si>
  <si>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</si>
  <si>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</si>
  <si>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</si>
  <si>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</si>
  <si>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</si>
  <si>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</si>
  <si>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</si>
  <si>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</si>
  <si>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</si>
  <si>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</si>
  <si>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</si>
  <si>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</si>
  <si>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</si>
  <si>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</si>
  <si>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</si>
  <si>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</si>
  <si>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</si>
  <si>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</si>
  <si>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</si>
  <si>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</si>
  <si>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</si>
  <si>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</si>
  <si>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</si>
  <si>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</si>
  <si>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</si>
  <si>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</si>
  <si>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</si>
  <si>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</si>
  <si>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</si>
  <si>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</si>
  <si>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</si>
  <si>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</si>
  <si>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</si>
  <si>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</si>
  <si>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</si>
  <si>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</si>
  <si>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</si>
  <si>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</si>
  <si>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</si>
  <si>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</si>
  <si>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</si>
  <si>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</si>
  <si>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</si>
  <si>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</si>
  <si>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</si>
  <si>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</si>
  <si>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</si>
  <si>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</si>
  <si>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</si>
  <si>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</si>
  <si>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</si>
  <si>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</si>
  <si>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</si>
  <si>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</si>
  <si>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</si>
  <si>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</si>
  <si>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</si>
  <si>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</si>
  <si>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</si>
  <si>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</si>
  <si>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</si>
  <si>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</si>
  <si>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</si>
  <si>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</si>
  <si>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</si>
  <si>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</si>
  <si>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</si>
  <si>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</si>
  <si>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</si>
  <si>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</si>
  <si>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</si>
  <si>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</si>
  <si>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</si>
  <si>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</si>
  <si>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</si>
  <si>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</si>
  <si>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</si>
  <si>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</si>
  <si>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</si>
  <si>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</si>
  <si>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</si>
  <si>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</si>
  <si>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</si>
  <si>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</si>
  <si>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</si>
  <si>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</si>
  <si>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</si>
  <si>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</si>
  <si>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</si>
  <si>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</si>
  <si>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</si>
  <si>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</si>
  <si>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</si>
  <si>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</si>
  <si>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</si>
  <si>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</si>
  <si>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</si>
  <si>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</si>
  <si>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</si>
  <si>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</si>
  <si>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</si>
  <si>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</si>
  <si>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</si>
  <si>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</si>
  <si>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</si>
  <si>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</si>
  <si>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</si>
  <si>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</si>
  <si>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</si>
  <si>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</si>
  <si>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</si>
  <si>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</si>
  <si>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</si>
  <si>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</si>
  <si>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</si>
  <si>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</si>
  <si>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</si>
  <si>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</si>
  <si>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</si>
  <si>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</si>
  <si>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</si>
  <si>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</si>
  <si>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</si>
  <si>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</si>
  <si>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</si>
  <si>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</si>
  <si>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</si>
  <si>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</si>
  <si>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</si>
  <si>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</si>
  <si>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</si>
  <si>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</si>
  <si>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</si>
  <si>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</si>
  <si>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</si>
  <si>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</si>
  <si>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</si>
  <si>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</si>
  <si>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</si>
  <si>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</si>
  <si>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</si>
  <si>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</si>
  <si>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</si>
  <si>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</si>
  <si>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</si>
  <si>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</si>
  <si>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</si>
  <si>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</si>
  <si>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</si>
  <si>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</si>
  <si>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</si>
  <si>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</si>
  <si>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</si>
  <si>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</si>
  <si>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</si>
  <si>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</si>
  <si>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</si>
  <si>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</si>
  <si>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</si>
  <si>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</si>
  <si>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</si>
  <si>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</si>
  <si>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</si>
  <si>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</si>
  <si>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</si>
  <si>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</si>
  <si>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</si>
  <si>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</si>
  <si>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</si>
  <si>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</si>
  <si>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</si>
  <si>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</si>
  <si>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</si>
  <si>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</si>
  <si>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</si>
  <si>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</si>
  <si>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</si>
  <si>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</si>
  <si>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</si>
  <si>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</si>
  <si>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34347571917</t>
  </si>
  <si>
    <t>04674766</t>
  </si>
  <si>
    <t>081072355</t>
  </si>
  <si>
    <t>AQUAPARK ZELINA D.O.O.</t>
  </si>
  <si>
    <t>SVETI IVAN ZELINA</t>
  </si>
  <si>
    <t>TRG ANTE STARČEVIĆA 12</t>
  </si>
  <si>
    <t>BRANKA HOĐA</t>
  </si>
  <si>
    <t>09931053966</t>
  </si>
  <si>
    <t>01/2019209</t>
  </si>
  <si>
    <t>HOĐA BRANKA</t>
  </si>
  <si>
    <t>branka.hodja@zelina.hr</t>
  </si>
  <si>
    <t>aquapark@zelina.hr</t>
  </si>
  <si>
    <t>www.aguapark@zelina.hr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</si>
</sst>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0</v>
      </c>
      <c r="I3" s="27">
        <f>ABS(ROUND(J3,0)-J3)+ABS(ROUND(K3,0)-K3)</f>
        <v>0</v>
      </c>
      <c r="J3" s="27">
        <f>Bilanca!I10</f>
        <v>0</v>
      </c>
      <c r="K3" s="27">
        <f>Bilanca!J10</f>
        <v>0</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04674766</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081072355</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34347571917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AQUAPARK ZELINA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10380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SVETI IVAN ZELINA</v>
      </c>
      <c r="D11" s="4" t="s">
        <v>554</v>
      </c>
      <c r="E11" s="4">
        <v>1</v>
      </c>
      <c r="F11" s="4">
        <f>Bilanca!G18</f>
        <v>10</v>
      </c>
      <c r="G11" s="4">
        <f>IF(Bilanca!H18=0,"",Bilanca!H18)</f>
      </c>
      <c r="H11" s="26">
        <f t="shared" si="0"/>
        <v>0</v>
      </c>
      <c r="I11" s="27">
        <f t="shared" si="1"/>
        <v>0</v>
      </c>
      <c r="J11" s="27">
        <f>Bilanca!I18</f>
        <v>0</v>
      </c>
      <c r="K11" s="27">
        <f>Bilanca!J18</f>
        <v>0</v>
      </c>
    </row>
    <row r="12" spans="1:11" ht="12.75">
      <c r="A12" s="4" t="s">
        <v>2738</v>
      </c>
      <c r="B12" s="25" t="str">
        <f>TRIM(RefStr!C33)</f>
        <v>TRG ANTE STARČEVIĆA 12</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aquapark@zelina.hr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www.aguapark@zelina.hr</v>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01</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429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9329</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15337.24</v>
      </c>
      <c r="I38" s="27">
        <f t="shared" si="1"/>
        <v>0</v>
      </c>
      <c r="J38" s="27">
        <f>Bilanca!I45</f>
        <v>14388</v>
      </c>
      <c r="K38" s="27">
        <f>Bilanca!J45</f>
        <v>13532</v>
      </c>
    </row>
    <row r="39" spans="1:11" ht="12.75">
      <c r="A39" s="4" t="s">
        <v>1611</v>
      </c>
      <c r="B39" s="25" t="str">
        <f>RefStr!C68</f>
        <v>BRANKA HOĐA</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09931053966</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branka.hodja@zelina.hr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HOĐA BRANKA</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0</v>
      </c>
      <c r="I47" s="27">
        <f t="shared" si="3"/>
        <v>0</v>
      </c>
      <c r="J47" s="27">
        <f>Bilanca!I54</f>
        <v>0</v>
      </c>
      <c r="K47" s="27">
        <f>Bilanca!J54</f>
        <v>0</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0</v>
      </c>
      <c r="I50" s="27">
        <f t="shared" si="3"/>
        <v>0</v>
      </c>
      <c r="J50" s="27">
        <f>Bilanca!I57</f>
        <v>0</v>
      </c>
      <c r="K50" s="27">
        <f>Bilanca!J57</f>
        <v>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0</v>
      </c>
      <c r="I52" s="27">
        <f t="shared" si="3"/>
        <v>0</v>
      </c>
      <c r="J52" s="27">
        <f>Bilanca!I59</f>
        <v>0</v>
      </c>
      <c r="K52" s="27">
        <f>Bilanca!J59</f>
        <v>0</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345777554.83000004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26114.760000000002</v>
      </c>
      <c r="I64" s="27">
        <f t="shared" si="3"/>
        <v>0</v>
      </c>
      <c r="J64" s="27">
        <f>Bilanca!I71</f>
        <v>14388</v>
      </c>
      <c r="K64" s="27">
        <f>Bilanca!J71</f>
        <v>13532</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26943.799999999996</v>
      </c>
      <c r="I66" s="27">
        <f t="shared" si="3"/>
        <v>0</v>
      </c>
      <c r="J66" s="27">
        <f>Bilanca!I73</f>
        <v>14388</v>
      </c>
      <c r="K66" s="27">
        <f>Bilanca!J73</f>
        <v>13532</v>
      </c>
    </row>
    <row r="67" spans="1:11" ht="12.75">
      <c r="A67" s="4" t="s">
        <v>925</v>
      </c>
      <c r="B67" s="25" t="str">
        <f>TRIM(RefStr!L35)</f>
        <v>01/2019209</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27629.46</v>
      </c>
      <c r="I68" s="27">
        <f t="shared" si="3"/>
        <v>0</v>
      </c>
      <c r="J68" s="27">
        <f>Bilanca!I76</f>
        <v>14318</v>
      </c>
      <c r="K68" s="27">
        <f>Bilanca!J76</f>
        <v>13460</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-13262.57</v>
      </c>
      <c r="I84" s="27">
        <f t="shared" si="3"/>
        <v>0</v>
      </c>
      <c r="J84" s="27">
        <f>Bilanca!I92</f>
        <v>-4615</v>
      </c>
      <c r="K84" s="27">
        <f>Bilanca!J92</f>
        <v>-5682</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13582.15</v>
      </c>
      <c r="I86" s="27">
        <f t="shared" si="3"/>
        <v>0</v>
      </c>
      <c r="J86" s="27">
        <f>Bilanca!I94</f>
        <v>4615</v>
      </c>
      <c r="K86" s="27">
        <f>Bilanca!J94</f>
        <v>5682</v>
      </c>
    </row>
    <row r="87" spans="4:11" ht="12.75">
      <c r="D87" s="4" t="s">
        <v>554</v>
      </c>
      <c r="E87" s="4">
        <v>1</v>
      </c>
      <c r="F87" s="4">
        <f>Bilanca!G95</f>
        <v>86</v>
      </c>
      <c r="G87" s="4">
        <f>IF(Bilanca!H95=0,"",Bilanca!H95)</f>
      </c>
      <c r="H87" s="26">
        <f>J87/100*F87+2*K87/100*F87</f>
        <v>-2393.38</v>
      </c>
      <c r="I87" s="27">
        <f>ABS(ROUND(J87,0)-J87)+ABS(ROUND(K87,0)-K87)</f>
        <v>0</v>
      </c>
      <c r="J87" s="27">
        <f>Bilanca!I95</f>
        <v>-1067</v>
      </c>
      <c r="K87" s="27">
        <f>Bilanca!J95</f>
        <v>-858</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2449.04</v>
      </c>
      <c r="I89" s="27">
        <f aca="true" t="shared" si="5" ref="I89:I129">ABS(ROUND(J89,0)-J89)+ABS(ROUND(K89,0)-K89)</f>
        <v>0</v>
      </c>
      <c r="J89" s="27">
        <f>Bilanca!I97</f>
        <v>1067</v>
      </c>
      <c r="K89" s="27">
        <f>Bilanca!J97</f>
        <v>858</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233.26</v>
      </c>
      <c r="I110" s="27">
        <f t="shared" si="5"/>
        <v>0</v>
      </c>
      <c r="J110" s="27">
        <f>Bilanca!I118</f>
        <v>70</v>
      </c>
      <c r="K110" s="27">
        <f>Bilanca!J118</f>
        <v>72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250.38</v>
      </c>
      <c r="I118" s="27">
        <f t="shared" si="5"/>
        <v>0</v>
      </c>
      <c r="J118" s="27">
        <f>Bilanca!I126</f>
        <v>70</v>
      </c>
      <c r="K118" s="27">
        <f>Bilanca!J126</f>
        <v>72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0</v>
      </c>
      <c r="I120" s="27">
        <f t="shared" si="5"/>
        <v>0</v>
      </c>
      <c r="J120" s="27">
        <f>Bilanca!I128</f>
        <v>0</v>
      </c>
      <c r="K120" s="27">
        <f>Bilanca!J128</f>
        <v>0</v>
      </c>
    </row>
    <row r="121" spans="4:11" ht="12.75">
      <c r="D121" s="4" t="s">
        <v>554</v>
      </c>
      <c r="E121" s="4">
        <v>1</v>
      </c>
      <c r="F121" s="4">
        <f>Bilanca!G129</f>
        <v>120</v>
      </c>
      <c r="G121" s="4">
        <f>IF(Bilanca!H129=0,"",Bilanca!H129)</f>
      </c>
      <c r="H121" s="26">
        <f t="shared" si="4"/>
        <v>0</v>
      </c>
      <c r="I121" s="27">
        <f t="shared" si="5"/>
        <v>0</v>
      </c>
      <c r="J121" s="27">
        <f>Bilanca!I129</f>
        <v>0</v>
      </c>
      <c r="K121" s="27">
        <f>Bilanca!J129</f>
        <v>0</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51815</v>
      </c>
      <c r="I126" s="27">
        <f t="shared" si="5"/>
        <v>0</v>
      </c>
      <c r="J126" s="27">
        <f>Bilanca!I134</f>
        <v>14388</v>
      </c>
      <c r="K126" s="27">
        <f>Bilanca!J134</f>
        <v>13532</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0</v>
      </c>
      <c r="I128" s="4">
        <f t="shared" si="5"/>
        <v>0</v>
      </c>
      <c r="J128" s="27">
        <f>RDG!I8</f>
        <v>0</v>
      </c>
      <c r="K128" s="27">
        <f>RDG!J8</f>
        <v>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0</v>
      </c>
      <c r="I130" s="4">
        <f aca="true" t="shared" si="7" ref="I130:I192">ABS(ROUND(J130,0)-J130)+ABS(ROUND(K130,0)-K130)</f>
        <v>0</v>
      </c>
      <c r="J130" s="27">
        <f>RDG!I10</f>
        <v>0</v>
      </c>
      <c r="K130" s="27">
        <f>RDG!J10</f>
        <v>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0</v>
      </c>
      <c r="I133" s="4">
        <f t="shared" si="7"/>
        <v>0</v>
      </c>
      <c r="J133" s="27">
        <f>RDG!I13</f>
        <v>0</v>
      </c>
      <c r="K133" s="27">
        <f>RDG!J13</f>
        <v>0</v>
      </c>
    </row>
    <row r="134" spans="4:11" ht="12.75">
      <c r="D134" s="4" t="s">
        <v>794</v>
      </c>
      <c r="E134" s="4">
        <v>2</v>
      </c>
      <c r="F134" s="4">
        <f>RDG!G14</f>
        <v>133</v>
      </c>
      <c r="G134" s="4">
        <f>IF(RDG!H14=0,"",RDG!H14)</f>
      </c>
      <c r="H134" s="26">
        <f t="shared" si="6"/>
        <v>3701.3900000000003</v>
      </c>
      <c r="I134" s="4">
        <f t="shared" si="7"/>
        <v>0</v>
      </c>
      <c r="J134" s="27">
        <f>RDG!I14</f>
        <v>1067</v>
      </c>
      <c r="K134" s="27">
        <f>RDG!J14</f>
        <v>858</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0</v>
      </c>
      <c r="I136" s="4">
        <f t="shared" si="7"/>
        <v>0</v>
      </c>
      <c r="J136" s="27">
        <f>RDG!I16</f>
        <v>0</v>
      </c>
      <c r="K136" s="27">
        <f>RDG!J16</f>
        <v>0</v>
      </c>
    </row>
    <row r="137" spans="4:11" ht="12.75">
      <c r="D137" s="4" t="s">
        <v>794</v>
      </c>
      <c r="E137" s="4">
        <v>2</v>
      </c>
      <c r="F137" s="4">
        <f>RDG!G17</f>
        <v>136</v>
      </c>
      <c r="G137" s="4">
        <f>IF(RDG!H17=0,"",RDG!H17)</f>
      </c>
      <c r="H137" s="26">
        <f t="shared" si="6"/>
        <v>0</v>
      </c>
      <c r="I137" s="4">
        <f t="shared" si="7"/>
        <v>0</v>
      </c>
      <c r="J137" s="27">
        <f>RDG!I17</f>
        <v>0</v>
      </c>
      <c r="K137" s="27">
        <f>RDG!J17</f>
        <v>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0</v>
      </c>
      <c r="I139" s="4">
        <f t="shared" si="7"/>
        <v>0</v>
      </c>
      <c r="J139" s="27">
        <f>RDG!I19</f>
        <v>0</v>
      </c>
      <c r="K139" s="27">
        <f>RDG!J19</f>
        <v>0</v>
      </c>
    </row>
    <row r="140" spans="4:11" ht="12.75">
      <c r="D140" s="4" t="s">
        <v>794</v>
      </c>
      <c r="E140" s="4">
        <v>2</v>
      </c>
      <c r="F140" s="4">
        <f>RDG!G20</f>
        <v>139</v>
      </c>
      <c r="G140" s="4">
        <f>IF(RDG!H20=0,"",RDG!H20)</f>
      </c>
      <c r="H140" s="26">
        <f t="shared" si="6"/>
        <v>0</v>
      </c>
      <c r="I140" s="4">
        <f t="shared" si="7"/>
        <v>0</v>
      </c>
      <c r="J140" s="27">
        <f>RDG!I20</f>
        <v>0</v>
      </c>
      <c r="K140" s="27">
        <f>RDG!J20</f>
        <v>0</v>
      </c>
    </row>
    <row r="141" spans="4:11" ht="12.75">
      <c r="D141" s="4" t="s">
        <v>794</v>
      </c>
      <c r="E141" s="4">
        <v>2</v>
      </c>
      <c r="F141" s="4">
        <f>RDG!G21</f>
        <v>140</v>
      </c>
      <c r="G141" s="4">
        <f>IF(RDG!H21=0,"",RDG!H21)</f>
      </c>
      <c r="H141" s="26">
        <f t="shared" si="6"/>
        <v>0</v>
      </c>
      <c r="I141" s="4">
        <f t="shared" si="7"/>
        <v>0</v>
      </c>
      <c r="J141" s="27">
        <f>RDG!I21</f>
        <v>0</v>
      </c>
      <c r="K141" s="27">
        <f>RDG!J21</f>
        <v>0</v>
      </c>
    </row>
    <row r="142" spans="4:11" ht="12.75">
      <c r="D142" s="4" t="s">
        <v>794</v>
      </c>
      <c r="E142" s="4">
        <v>2</v>
      </c>
      <c r="F142" s="4">
        <f>RDG!G22</f>
        <v>141</v>
      </c>
      <c r="G142" s="4">
        <f>IF(RDG!H22=0,"",RDG!H22)</f>
      </c>
      <c r="H142" s="26">
        <f t="shared" si="6"/>
        <v>0</v>
      </c>
      <c r="I142" s="4">
        <f t="shared" si="7"/>
        <v>0</v>
      </c>
      <c r="J142" s="27">
        <f>RDG!I22</f>
        <v>0</v>
      </c>
      <c r="K142" s="27">
        <f>RDG!J22</f>
        <v>0</v>
      </c>
    </row>
    <row r="143" spans="4:11" ht="12.75">
      <c r="D143" s="4" t="s">
        <v>794</v>
      </c>
      <c r="E143" s="4">
        <v>2</v>
      </c>
      <c r="F143" s="4">
        <f>RDG!G23</f>
        <v>142</v>
      </c>
      <c r="G143" s="4">
        <f>IF(RDG!H23=0,"",RDG!H23)</f>
      </c>
      <c r="H143" s="26">
        <f t="shared" si="6"/>
        <v>0</v>
      </c>
      <c r="I143" s="4">
        <f t="shared" si="7"/>
        <v>0</v>
      </c>
      <c r="J143" s="27">
        <f>RDG!I23</f>
        <v>0</v>
      </c>
      <c r="K143" s="27">
        <f>RDG!J23</f>
        <v>0</v>
      </c>
    </row>
    <row r="144" spans="4:11" ht="12.75">
      <c r="D144" s="4" t="s">
        <v>794</v>
      </c>
      <c r="E144" s="4">
        <v>2</v>
      </c>
      <c r="F144" s="4">
        <f>RDG!G24</f>
        <v>143</v>
      </c>
      <c r="G144" s="4">
        <f>IF(RDG!H24=0,"",RDG!H24)</f>
      </c>
      <c r="H144" s="26">
        <f t="shared" si="6"/>
        <v>0</v>
      </c>
      <c r="I144" s="4">
        <f t="shared" si="7"/>
        <v>0</v>
      </c>
      <c r="J144" s="27">
        <f>RDG!I24</f>
        <v>0</v>
      </c>
      <c r="K144" s="27">
        <f>RDG!J24</f>
        <v>0</v>
      </c>
    </row>
    <row r="145" spans="4:11" ht="12.75">
      <c r="D145" s="4" t="s">
        <v>794</v>
      </c>
      <c r="E145" s="4">
        <v>2</v>
      </c>
      <c r="F145" s="4">
        <f>RDG!G25</f>
        <v>144</v>
      </c>
      <c r="G145" s="4">
        <f>IF(RDG!H25=0,"",RDG!H25)</f>
      </c>
      <c r="H145" s="26">
        <f t="shared" si="6"/>
        <v>0</v>
      </c>
      <c r="I145" s="4">
        <f t="shared" si="7"/>
        <v>0</v>
      </c>
      <c r="J145" s="27">
        <f>RDG!I25</f>
        <v>0</v>
      </c>
      <c r="K145" s="27">
        <f>RDG!J25</f>
        <v>0</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4313.65</v>
      </c>
      <c r="I156" s="4">
        <f t="shared" si="7"/>
        <v>0</v>
      </c>
      <c r="J156" s="27">
        <f>RDG!I36</f>
        <v>1067</v>
      </c>
      <c r="K156" s="27">
        <f>RDG!J36</f>
        <v>858</v>
      </c>
    </row>
    <row r="157" spans="4:11" ht="12.75">
      <c r="D157" s="4" t="s">
        <v>794</v>
      </c>
      <c r="E157" s="4">
        <v>2</v>
      </c>
      <c r="F157" s="4">
        <f>RDG!G37</f>
        <v>156</v>
      </c>
      <c r="G157" s="4">
        <f>IF(RDG!H37=0,"",RDG!H37)</f>
      </c>
      <c r="H157" s="26">
        <f t="shared" si="6"/>
        <v>0</v>
      </c>
      <c r="I157" s="4">
        <f t="shared" si="7"/>
        <v>0</v>
      </c>
      <c r="J157" s="27">
        <f>RDG!I37</f>
        <v>0</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0</v>
      </c>
      <c r="I180" s="4">
        <f t="shared" si="7"/>
        <v>0</v>
      </c>
      <c r="J180" s="27">
        <f>RDG!I60</f>
        <v>0</v>
      </c>
      <c r="K180" s="27">
        <f>RDG!J60</f>
        <v>0</v>
      </c>
    </row>
    <row r="181" spans="4:11" ht="12.75">
      <c r="D181" s="4" t="s">
        <v>794</v>
      </c>
      <c r="E181" s="4">
        <v>2</v>
      </c>
      <c r="F181" s="4">
        <f>RDG!G61</f>
        <v>180</v>
      </c>
      <c r="G181" s="4">
        <f>IF(RDG!H61=0,"",RDG!H61)</f>
      </c>
      <c r="H181" s="26">
        <f t="shared" si="6"/>
        <v>5009.4</v>
      </c>
      <c r="I181" s="4">
        <f t="shared" si="7"/>
        <v>0</v>
      </c>
      <c r="J181" s="27">
        <f>RDG!I61</f>
        <v>1067</v>
      </c>
      <c r="K181" s="27">
        <f>RDG!J61</f>
        <v>858</v>
      </c>
    </row>
    <row r="182" spans="4:11" ht="12.75">
      <c r="D182" s="4" t="s">
        <v>794</v>
      </c>
      <c r="E182" s="4">
        <v>2</v>
      </c>
      <c r="F182" s="4">
        <f>RDG!G62</f>
        <v>181</v>
      </c>
      <c r="G182" s="4">
        <f>IF(RDG!H62=0,"",RDG!H62)</f>
      </c>
      <c r="H182" s="26">
        <f t="shared" si="6"/>
        <v>-5037.23</v>
      </c>
      <c r="I182" s="4">
        <f t="shared" si="7"/>
        <v>0</v>
      </c>
      <c r="J182" s="27">
        <f>RDG!I62</f>
        <v>-1067</v>
      </c>
      <c r="K182" s="27">
        <f>RDG!J62</f>
        <v>-858</v>
      </c>
    </row>
    <row r="183" spans="4:11" ht="12.75">
      <c r="D183" s="4" t="s">
        <v>794</v>
      </c>
      <c r="E183" s="4">
        <v>2</v>
      </c>
      <c r="F183" s="4">
        <f>RDG!G63</f>
        <v>182</v>
      </c>
      <c r="G183" s="4">
        <f>IF(RDG!H63=0,"",RDG!H63)</f>
      </c>
      <c r="H183" s="26">
        <f t="shared" si="6"/>
        <v>0</v>
      </c>
      <c r="I183" s="4">
        <f t="shared" si="7"/>
        <v>0</v>
      </c>
      <c r="J183" s="27">
        <f>RDG!I63</f>
        <v>0</v>
      </c>
      <c r="K183" s="27">
        <f>RDG!J63</f>
        <v>0</v>
      </c>
    </row>
    <row r="184" spans="4:11" ht="12.75">
      <c r="D184" s="4" t="s">
        <v>794</v>
      </c>
      <c r="E184" s="4">
        <v>2</v>
      </c>
      <c r="F184" s="4">
        <f>RDG!G64</f>
        <v>183</v>
      </c>
      <c r="G184" s="4">
        <f>IF(RDG!H64=0,"",RDG!H64)</f>
      </c>
      <c r="H184" s="26">
        <f t="shared" si="6"/>
        <v>5092.89</v>
      </c>
      <c r="I184" s="4">
        <f t="shared" si="7"/>
        <v>0</v>
      </c>
      <c r="J184" s="27">
        <f>RDG!I64</f>
        <v>1067</v>
      </c>
      <c r="K184" s="27">
        <f>RDG!J64</f>
        <v>858</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-5148.55</v>
      </c>
      <c r="I186" s="4">
        <f t="shared" si="7"/>
        <v>0</v>
      </c>
      <c r="J186" s="27">
        <f>RDG!I66</f>
        <v>-1067</v>
      </c>
      <c r="K186" s="27">
        <f>RDG!J66</f>
        <v>-858</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5204.21</v>
      </c>
      <c r="I188" s="4">
        <f t="shared" si="7"/>
        <v>0</v>
      </c>
      <c r="J188" s="27">
        <f>RDG!I68</f>
        <v>1067</v>
      </c>
      <c r="K188" s="27">
        <f>RDG!J68</f>
        <v>858</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26"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AQUAPARK ZELINA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10380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34347571917</v>
      </c>
      <c r="V4" s="206" t="s">
        <v>2737</v>
      </c>
      <c r="W4" s="224" t="str">
        <f>RefStr!F31</f>
        <v>SVETI IVAN ZELINA</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04674766</v>
      </c>
      <c r="V5" s="206" t="s">
        <v>2738</v>
      </c>
      <c r="W5" s="224" t="str">
        <f>RefStr!C33</f>
        <v>TRG ANTE STARČEVIĆA 12</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081072355</v>
      </c>
      <c r="V6" s="206" t="s">
        <v>2968</v>
      </c>
      <c r="W6" s="224" t="str">
        <f>RefStr!L35</f>
        <v>01/2019209</v>
      </c>
      <c r="X6" s="206" t="s">
        <v>2926</v>
      </c>
      <c r="Y6" s="224" t="str">
        <f>RefStr!C68</f>
        <v>BRANKA HOĐA</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AQUAPARK@ZELINA.HR</v>
      </c>
      <c r="X7" s="206" t="s">
        <v>2927</v>
      </c>
      <c r="Y7" s="224" t="str">
        <f>RefStr!C70</f>
        <v>09931053966</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9329</v>
      </c>
      <c r="X8" s="206" t="s">
        <v>2928</v>
      </c>
      <c r="Y8" s="224" t="str">
        <f>TRIM(UPPER(RefStr!C72))</f>
        <v>BRANKA.HODJA@ZELINA.HR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0</v>
      </c>
      <c r="Q9" s="223">
        <f>RefStr!F58</f>
        <v>0</v>
      </c>
      <c r="R9" s="206" t="s">
        <v>914</v>
      </c>
      <c r="S9" s="224">
        <f>IF(RefStr!F4&lt;&gt;"",RefStr!F4,0)</f>
        <v>44926</v>
      </c>
      <c r="T9" s="206" t="s">
        <v>891</v>
      </c>
      <c r="U9" s="224">
        <f>RefStr!C39</f>
        <v>429</v>
      </c>
      <c r="V9" s="206" t="s">
        <v>2951</v>
      </c>
      <c r="W9" s="224" t="str">
        <f>RefStr!D42</f>
        <v>Ostale zabavne i rekreacijske djelatno...</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0</v>
      </c>
      <c r="Q10" s="225">
        <f>RefStr!F56</f>
        <v>0</v>
      </c>
      <c r="R10" s="208" t="s">
        <v>917</v>
      </c>
      <c r="S10" s="225">
        <f>RefStr!C23</f>
        <v>1</v>
      </c>
      <c r="T10" s="208" t="s">
        <v>2973</v>
      </c>
      <c r="U10" s="225" t="str">
        <f>RefStr!D39</f>
        <v>Sveti Ivan Zelina</v>
      </c>
      <c r="V10" s="232"/>
      <c r="W10" s="233"/>
      <c r="X10" s="234" t="s">
        <v>2279</v>
      </c>
      <c r="Y10" s="235">
        <f>RefStr!F12</f>
        <v>2022</v>
      </c>
      <c r="Z10" s="208" t="s">
        <v>1771</v>
      </c>
      <c r="AA10" s="225" t="str">
        <f>RefStr!A75</f>
        <v>HOĐA BRANKA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C:\Users\Vlasta\Desktop\FISKALNA 2023\a park\[GFI-POD, Godišnji financijski izvještaj 2022..xls]Dodatni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0" activePane="bottomLeft" state="frozen"/>
      <selection pane="topLeft" activeCell="A1" sqref="A1"/>
      <selection pane="bottomLeft" activeCell="J71" sqref="J7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467476.6</v>
      </c>
    </row>
    <row r="13" spans="4:17" ht="9.75" customHeight="1">
      <c r="D13" s="152"/>
      <c r="E13" s="158"/>
      <c r="H13" s="23"/>
      <c r="I13" s="159"/>
      <c r="J13" s="159"/>
      <c r="K13" s="152"/>
      <c r="L13" s="152"/>
      <c r="M13" s="152"/>
      <c r="N13" s="152"/>
      <c r="P13" s="50" t="s">
        <v>1561</v>
      </c>
      <c r="Q13" s="51">
        <f>INT(VALUE(M27))/50</f>
        <v>1621447.1</v>
      </c>
    </row>
    <row r="14" spans="1:17" ht="15">
      <c r="A14" s="377" t="s">
        <v>1312</v>
      </c>
      <c r="B14" s="377"/>
      <c r="C14" s="377"/>
      <c r="D14" s="160"/>
      <c r="E14" s="161"/>
      <c r="F14" s="375"/>
      <c r="G14" s="376"/>
      <c r="H14" s="376"/>
      <c r="I14" s="152"/>
      <c r="J14" s="367" t="s">
        <v>1978</v>
      </c>
      <c r="K14" s="368"/>
      <c r="L14" s="368"/>
      <c r="M14" s="368"/>
      <c r="N14" s="368"/>
      <c r="P14" s="50" t="s">
        <v>1316</v>
      </c>
      <c r="Q14" s="51">
        <f>INT(VALUE(C27))/100</f>
        <v>343475719.17</v>
      </c>
    </row>
    <row r="15" spans="1:17" ht="19.5" customHeight="1">
      <c r="A15" s="364">
        <f>Skriveni!B59</f>
        <v>345777554.83000004</v>
      </c>
      <c r="B15" s="365"/>
      <c r="C15" s="366"/>
      <c r="D15" s="56"/>
      <c r="E15" s="56"/>
      <c r="F15" s="56"/>
      <c r="G15" s="56"/>
      <c r="H15" s="56"/>
      <c r="I15" s="56"/>
      <c r="J15" s="56"/>
      <c r="K15" s="56"/>
      <c r="L15" s="56"/>
      <c r="M15" s="56"/>
      <c r="N15" s="56"/>
      <c r="P15" s="50" t="s">
        <v>887</v>
      </c>
      <c r="Q15" s="51">
        <f>LEN(Skriveni!B9)</f>
        <v>22</v>
      </c>
    </row>
    <row r="16" spans="4:17" ht="12.75" customHeight="1">
      <c r="D16" s="56"/>
      <c r="E16" s="56"/>
      <c r="F16" s="56"/>
      <c r="G16" s="56"/>
      <c r="H16" s="56"/>
      <c r="I16" s="56"/>
      <c r="P16" s="50" t="s">
        <v>888</v>
      </c>
      <c r="Q16" s="51">
        <f>INT(VALUE(C31))/100</f>
        <v>103.8</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17</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2982</v>
      </c>
      <c r="P19" s="50" t="s">
        <v>890</v>
      </c>
      <c r="Q19" s="51">
        <f>LEN(Skriveni!B12)</f>
        <v>22</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429</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9329</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10380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2994</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2995</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429</v>
      </c>
      <c r="D39" s="278" t="str">
        <f>IF(C39="","Upišite šifru grada/općine",IF(ISNA(LOOKUP(C39,A177:A732,A177:A732)),"Šifra grada/općine ne postoji",IF(LOOKUP(C39,A177:A732,A177:A732)&lt;&gt;C39,"Šifra grada/općine ne postoji",LOOKUP(C39,A177:A732,B177:B732))))</f>
        <v>Sveti Ivan Zelina</v>
      </c>
      <c r="E39" s="323"/>
      <c r="F39" s="323"/>
      <c r="G39" s="323"/>
      <c r="H39" s="287" t="s">
        <v>2109</v>
      </c>
      <c r="I39" s="306"/>
      <c r="J39" s="54">
        <f>IF(C39&gt;0,LOOKUP(C39,A177:A732,C177:C732),"")</f>
        <v>1</v>
      </c>
      <c r="K39" s="332" t="str">
        <f>IF(J39="","Upišite šifru grada/općine",LOOKUP(J39,A153:A173,B153:B173))</f>
        <v>ZAGREBAČKA</v>
      </c>
      <c r="L39" s="332"/>
      <c r="M39" s="332"/>
      <c r="N39" s="332"/>
      <c r="P39" s="50" t="s">
        <v>896</v>
      </c>
      <c r="Q39" s="51">
        <f>C56+2*F56+3*C58+4*F58</f>
        <v>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954</v>
      </c>
      <c r="D42" s="320" t="str">
        <f>IF(C42="","Upišite šifru razreda glavne djelatnosti",IF(ISNA(LOOKUP(C42,A736:A1351,A736:A1351)),"Šifra NKD-a ne postoji",IF(LOOKUP(C42,A736:A1351,A736:A1351)&lt;&gt;C42,"Šifra NKD-a ne postoji",LOOKUP(C42,A736:A1351,B736:B1351))))</f>
        <v>Ostale zabavne i rekreacijske djelatno...</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0</v>
      </c>
      <c r="D56" s="326" t="s">
        <v>2653</v>
      </c>
      <c r="E56" s="327"/>
      <c r="F56" s="40">
        <v>0</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0</v>
      </c>
      <c r="D58" s="314" t="s">
        <v>2653</v>
      </c>
      <c r="E58" s="314"/>
      <c r="F58" s="40">
        <v>0</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2989</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2990</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2992</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7" activePane="bottomLeft" state="frozen"/>
      <selection pane="topLeft" activeCell="A1" sqref="A1"/>
      <selection pane="bottomLeft" activeCell="J91" sqref="J9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34347571917; AQUAPARK ZELINA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0</v>
      </c>
      <c r="J10" s="66">
        <f>J11+J18+J28+J39+J44</f>
        <v>0</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0</v>
      </c>
      <c r="J18" s="66">
        <f>SUM(J19:J27)</f>
        <v>0</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c r="J20" s="67"/>
    </row>
    <row r="21" spans="1:10" ht="13.5" customHeight="1">
      <c r="A21" s="385" t="s">
        <v>734</v>
      </c>
      <c r="B21" s="385"/>
      <c r="C21" s="385"/>
      <c r="D21" s="385"/>
      <c r="E21" s="385"/>
      <c r="F21" s="385"/>
      <c r="G21" s="15">
        <v>13</v>
      </c>
      <c r="H21" s="16"/>
      <c r="I21" s="67"/>
      <c r="J21" s="67"/>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14388</v>
      </c>
      <c r="J45" s="66">
        <f>J46+J54+J61+J71</f>
        <v>13532</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0</v>
      </c>
      <c r="J54" s="66">
        <f>SUM(J55:J60)</f>
        <v>0</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c r="J57" s="67"/>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c r="J59" s="67"/>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14388</v>
      </c>
      <c r="J71" s="67">
        <v>13532</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14388</v>
      </c>
      <c r="J73" s="66">
        <f>J9+J10+J45+J72</f>
        <v>13532</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14318</v>
      </c>
      <c r="J76" s="66">
        <f>J77+J78+J79+J85+J86+J92+J95+J98</f>
        <v>13460</v>
      </c>
      <c r="L76" s="2" t="s">
        <v>1209</v>
      </c>
    </row>
    <row r="77" spans="1:10" ht="13.5" customHeight="1">
      <c r="A77" s="386" t="s">
        <v>1857</v>
      </c>
      <c r="B77" s="386"/>
      <c r="C77" s="386"/>
      <c r="D77" s="386"/>
      <c r="E77" s="386"/>
      <c r="F77" s="386"/>
      <c r="G77" s="15">
        <v>68</v>
      </c>
      <c r="H77" s="16"/>
      <c r="I77" s="67">
        <v>20000</v>
      </c>
      <c r="J77" s="67">
        <v>20000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-4615</v>
      </c>
      <c r="J92" s="66">
        <f>J93-J94</f>
        <v>-5682</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v>4615</v>
      </c>
      <c r="J94" s="67">
        <v>5682</v>
      </c>
    </row>
    <row r="95" spans="1:12" ht="13.5" customHeight="1">
      <c r="A95" s="386" t="s">
        <v>2487</v>
      </c>
      <c r="B95" s="386"/>
      <c r="C95" s="386"/>
      <c r="D95" s="386"/>
      <c r="E95" s="386"/>
      <c r="F95" s="386"/>
      <c r="G95" s="15">
        <v>86</v>
      </c>
      <c r="H95" s="16"/>
      <c r="I95" s="66">
        <f>I96-I97</f>
        <v>-1067</v>
      </c>
      <c r="J95" s="66">
        <f>J96-J97</f>
        <v>-858</v>
      </c>
      <c r="L95" s="2" t="s">
        <v>1209</v>
      </c>
    </row>
    <row r="96" spans="1:10" ht="13.5" customHeight="1">
      <c r="A96" s="385" t="s">
        <v>1257</v>
      </c>
      <c r="B96" s="385"/>
      <c r="C96" s="385"/>
      <c r="D96" s="385"/>
      <c r="E96" s="385"/>
      <c r="F96" s="385"/>
      <c r="G96" s="15">
        <v>87</v>
      </c>
      <c r="H96" s="16"/>
      <c r="I96" s="67"/>
      <c r="J96" s="67"/>
    </row>
    <row r="97" spans="1:10" ht="13.5" customHeight="1">
      <c r="A97" s="385" t="s">
        <v>2832</v>
      </c>
      <c r="B97" s="385"/>
      <c r="C97" s="385"/>
      <c r="D97" s="385"/>
      <c r="E97" s="385"/>
      <c r="F97" s="385"/>
      <c r="G97" s="15">
        <v>88</v>
      </c>
      <c r="H97" s="16"/>
      <c r="I97" s="67">
        <v>1067</v>
      </c>
      <c r="J97" s="67">
        <v>858</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70</v>
      </c>
      <c r="J118" s="66">
        <f>SUM(J119:J132)</f>
        <v>72</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70</v>
      </c>
      <c r="J126" s="67">
        <v>72</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c r="J128" s="67"/>
    </row>
    <row r="129" spans="1:10" ht="13.5" customHeight="1">
      <c r="A129" s="385" t="s">
        <v>2023</v>
      </c>
      <c r="B129" s="385"/>
      <c r="C129" s="385"/>
      <c r="D129" s="385"/>
      <c r="E129" s="385"/>
      <c r="F129" s="385"/>
      <c r="G129" s="15">
        <v>120</v>
      </c>
      <c r="H129" s="16"/>
      <c r="I129" s="67"/>
      <c r="J129" s="67"/>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c r="J133" s="67"/>
    </row>
    <row r="134" spans="1:10" ht="13.5" customHeight="1">
      <c r="A134" s="387" t="s">
        <v>360</v>
      </c>
      <c r="B134" s="387"/>
      <c r="C134" s="387"/>
      <c r="D134" s="387"/>
      <c r="E134" s="387"/>
      <c r="F134" s="387"/>
      <c r="G134" s="15">
        <v>125</v>
      </c>
      <c r="H134" s="16"/>
      <c r="I134" s="66">
        <f>I76+I99+I106+I118+I133</f>
        <v>14388</v>
      </c>
      <c r="J134" s="66">
        <f>J76+J99+J106+J118+J133</f>
        <v>13532</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4" activePane="bottomLeft" state="frozen"/>
      <selection pane="topLeft" activeCell="A1" sqref="A1"/>
      <selection pane="bottomLeft" activeCell="F1" sqref="F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34347571917; AQUAPARK ZELINA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0</v>
      </c>
      <c r="J8" s="80">
        <f>SUM(J9:J13)</f>
        <v>0</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c r="J10" s="67"/>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c r="J13" s="67"/>
    </row>
    <row r="14" spans="1:10" s="2" customFormat="1" ht="14.25" customHeight="1">
      <c r="A14" s="387" t="s">
        <v>2492</v>
      </c>
      <c r="B14" s="387"/>
      <c r="C14" s="387"/>
      <c r="D14" s="387"/>
      <c r="E14" s="387"/>
      <c r="F14" s="387"/>
      <c r="G14" s="15">
        <v>133</v>
      </c>
      <c r="H14" s="16"/>
      <c r="I14" s="66">
        <f>I15+I16+I20+I24+I25+I26+I29+I36</f>
        <v>1067</v>
      </c>
      <c r="J14" s="66">
        <f>J15+J16+J20+J24+J25+J26+J29+J36</f>
        <v>858</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0</v>
      </c>
      <c r="J16" s="66">
        <f>SUM(J17:J19)</f>
        <v>0</v>
      </c>
    </row>
    <row r="17" spans="1:10" s="2" customFormat="1" ht="14.25" customHeight="1">
      <c r="A17" s="414" t="s">
        <v>1273</v>
      </c>
      <c r="B17" s="414"/>
      <c r="C17" s="414"/>
      <c r="D17" s="414"/>
      <c r="E17" s="414"/>
      <c r="F17" s="414"/>
      <c r="G17" s="15">
        <v>136</v>
      </c>
      <c r="H17" s="16"/>
      <c r="I17" s="67"/>
      <c r="J17" s="67"/>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c r="J19" s="67"/>
    </row>
    <row r="20" spans="1:10" s="2" customFormat="1" ht="14.25" customHeight="1">
      <c r="A20" s="385" t="s">
        <v>2494</v>
      </c>
      <c r="B20" s="385"/>
      <c r="C20" s="385"/>
      <c r="D20" s="385"/>
      <c r="E20" s="385"/>
      <c r="F20" s="385"/>
      <c r="G20" s="15">
        <v>139</v>
      </c>
      <c r="H20" s="16"/>
      <c r="I20" s="66">
        <f>SUM(I21:I23)</f>
        <v>0</v>
      </c>
      <c r="J20" s="66">
        <f>SUM(J21:J23)</f>
        <v>0</v>
      </c>
    </row>
    <row r="21" spans="1:10" s="2" customFormat="1" ht="14.25" customHeight="1">
      <c r="A21" s="414" t="s">
        <v>960</v>
      </c>
      <c r="B21" s="414"/>
      <c r="C21" s="414"/>
      <c r="D21" s="414"/>
      <c r="E21" s="414"/>
      <c r="F21" s="414"/>
      <c r="G21" s="15">
        <v>140</v>
      </c>
      <c r="H21" s="16"/>
      <c r="I21" s="67"/>
      <c r="J21" s="67"/>
    </row>
    <row r="22" spans="1:10" s="2" customFormat="1" ht="14.25" customHeight="1">
      <c r="A22" s="414" t="s">
        <v>1883</v>
      </c>
      <c r="B22" s="414"/>
      <c r="C22" s="414"/>
      <c r="D22" s="414"/>
      <c r="E22" s="414"/>
      <c r="F22" s="414"/>
      <c r="G22" s="15">
        <v>141</v>
      </c>
      <c r="H22" s="16"/>
      <c r="I22" s="67"/>
      <c r="J22" s="67"/>
    </row>
    <row r="23" spans="1:10" s="2" customFormat="1" ht="14.25" customHeight="1">
      <c r="A23" s="414" t="s">
        <v>1884</v>
      </c>
      <c r="B23" s="414"/>
      <c r="C23" s="414"/>
      <c r="D23" s="414"/>
      <c r="E23" s="414"/>
      <c r="F23" s="414"/>
      <c r="G23" s="15">
        <v>142</v>
      </c>
      <c r="H23" s="16"/>
      <c r="I23" s="67"/>
      <c r="J23" s="67"/>
    </row>
    <row r="24" spans="1:10" s="2" customFormat="1" ht="14.25" customHeight="1">
      <c r="A24" s="385" t="s">
        <v>1006</v>
      </c>
      <c r="B24" s="385"/>
      <c r="C24" s="385"/>
      <c r="D24" s="385"/>
      <c r="E24" s="385"/>
      <c r="F24" s="385"/>
      <c r="G24" s="15">
        <v>143</v>
      </c>
      <c r="H24" s="16"/>
      <c r="I24" s="67"/>
      <c r="J24" s="67"/>
    </row>
    <row r="25" spans="1:10" s="2" customFormat="1" ht="14.25" customHeight="1">
      <c r="A25" s="385" t="s">
        <v>1007</v>
      </c>
      <c r="B25" s="385"/>
      <c r="C25" s="385"/>
      <c r="D25" s="385"/>
      <c r="E25" s="385"/>
      <c r="F25" s="385"/>
      <c r="G25" s="15">
        <v>144</v>
      </c>
      <c r="H25" s="16"/>
      <c r="I25" s="67"/>
      <c r="J25" s="67"/>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1067</v>
      </c>
      <c r="J36" s="67">
        <v>858</v>
      </c>
    </row>
    <row r="37" spans="1:10" s="2" customFormat="1" ht="14.25" customHeight="1">
      <c r="A37" s="387" t="s">
        <v>2497</v>
      </c>
      <c r="B37" s="387"/>
      <c r="C37" s="387"/>
      <c r="D37" s="387"/>
      <c r="E37" s="387"/>
      <c r="F37" s="387"/>
      <c r="G37" s="15">
        <v>156</v>
      </c>
      <c r="H37" s="16"/>
      <c r="I37" s="66">
        <f>SUM(I38:I47)</f>
        <v>0</v>
      </c>
      <c r="J37" s="66">
        <f>SUM(J38:J47)</f>
        <v>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c r="J44" s="67"/>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0</v>
      </c>
      <c r="J48" s="66">
        <f>SUM(J49:J55)</f>
        <v>0</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0</v>
      </c>
      <c r="J60" s="66">
        <f>J8+J37+J56+J57</f>
        <v>0</v>
      </c>
    </row>
    <row r="61" spans="1:10" s="2" customFormat="1" ht="14.25" customHeight="1">
      <c r="A61" s="387" t="s">
        <v>2500</v>
      </c>
      <c r="B61" s="387"/>
      <c r="C61" s="387"/>
      <c r="D61" s="387"/>
      <c r="E61" s="387"/>
      <c r="F61" s="387"/>
      <c r="G61" s="15">
        <v>180</v>
      </c>
      <c r="H61" s="16"/>
      <c r="I61" s="66">
        <f>I14+I48+I58+I59</f>
        <v>1067</v>
      </c>
      <c r="J61" s="66">
        <f>J14+J48+J58+J59</f>
        <v>858</v>
      </c>
    </row>
    <row r="62" spans="1:12" s="2" customFormat="1" ht="14.25" customHeight="1">
      <c r="A62" s="387" t="s">
        <v>2501</v>
      </c>
      <c r="B62" s="387"/>
      <c r="C62" s="387"/>
      <c r="D62" s="387"/>
      <c r="E62" s="387"/>
      <c r="F62" s="387"/>
      <c r="G62" s="15">
        <v>181</v>
      </c>
      <c r="H62" s="16"/>
      <c r="I62" s="66">
        <f>I60-I61</f>
        <v>-1067</v>
      </c>
      <c r="J62" s="66">
        <f>J60-J61</f>
        <v>-858</v>
      </c>
      <c r="L62" s="2" t="s">
        <v>1209</v>
      </c>
    </row>
    <row r="63" spans="1:10" s="2" customFormat="1" ht="14.25" customHeight="1">
      <c r="A63" s="413" t="s">
        <v>2502</v>
      </c>
      <c r="B63" s="413"/>
      <c r="C63" s="413"/>
      <c r="D63" s="413"/>
      <c r="E63" s="413"/>
      <c r="F63" s="413"/>
      <c r="G63" s="15">
        <v>182</v>
      </c>
      <c r="H63" s="16"/>
      <c r="I63" s="66">
        <f>IF(I60&gt;I61,I60-I61,0)</f>
        <v>0</v>
      </c>
      <c r="J63" s="66">
        <f>IF(J60&gt;J61,J60-J61,0)</f>
        <v>0</v>
      </c>
    </row>
    <row r="64" spans="1:10" s="2" customFormat="1" ht="14.25" customHeight="1">
      <c r="A64" s="413" t="s">
        <v>2503</v>
      </c>
      <c r="B64" s="413"/>
      <c r="C64" s="413"/>
      <c r="D64" s="413"/>
      <c r="E64" s="413"/>
      <c r="F64" s="413"/>
      <c r="G64" s="15">
        <v>183</v>
      </c>
      <c r="H64" s="16"/>
      <c r="I64" s="66">
        <f>IF(I61&gt;I60,I61-I60,0)</f>
        <v>1067</v>
      </c>
      <c r="J64" s="66">
        <f>IF(J61&gt;J60,J61-J60,0)</f>
        <v>858</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-1067</v>
      </c>
      <c r="J66" s="66">
        <f>J62-J65</f>
        <v>-858</v>
      </c>
      <c r="L66" s="2" t="s">
        <v>1209</v>
      </c>
    </row>
    <row r="67" spans="1:10" s="2" customFormat="1" ht="14.25" customHeight="1">
      <c r="A67" s="413" t="s">
        <v>2505</v>
      </c>
      <c r="B67" s="413"/>
      <c r="C67" s="413"/>
      <c r="D67" s="413"/>
      <c r="E67" s="413"/>
      <c r="F67" s="413"/>
      <c r="G67" s="15">
        <v>186</v>
      </c>
      <c r="H67" s="16"/>
      <c r="I67" s="66">
        <f>IF(I66&gt;0,I66,0)</f>
        <v>0</v>
      </c>
      <c r="J67" s="66">
        <f>IF(J66&gt;0,J66,0)</f>
        <v>0</v>
      </c>
    </row>
    <row r="68" spans="1:10" s="2" customFormat="1" ht="14.25" customHeight="1">
      <c r="A68" s="425" t="s">
        <v>2506</v>
      </c>
      <c r="B68" s="425"/>
      <c r="C68" s="425"/>
      <c r="D68" s="425"/>
      <c r="E68" s="425"/>
      <c r="F68" s="425"/>
      <c r="G68" s="17">
        <v>187</v>
      </c>
      <c r="H68" s="18"/>
      <c r="I68" s="81">
        <f>IF(I66&lt;0,-I66,0)</f>
        <v>1067</v>
      </c>
      <c r="J68" s="81">
        <f>IF(J66&lt;0,-J66,0)</f>
        <v>858</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4" activePane="bottomLeft" state="frozen"/>
      <selection pane="topLeft" activeCell="A1" sqref="A1"/>
      <selection pane="bottomLeft" activeCell="J62" sqref="J6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34347571917; AQUAPARK ZELINA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34347571917; AQUAPARK ZELINA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34347571917; AQUAPARK ZELINA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34347571917; AQUAPARK ZELINA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Grad Sveti Ivan Zelina, Računovodstvo</cp:lastModifiedBy>
  <cp:lastPrinted>2021-09-27T13:29:50Z</cp:lastPrinted>
  <dcterms:created xsi:type="dcterms:W3CDTF">2008-10-17T11:51:54Z</dcterms:created>
  <dcterms:modified xsi:type="dcterms:W3CDTF">2024-03-15T08:57:18Z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